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 yWindow="1680" windowWidth="15480" windowHeight="11640" tabRatio="891"/>
  </bookViews>
  <sheets>
    <sheet name="Etappes" sheetId="2" r:id="rId1"/>
    <sheet name="Grafiek" sheetId="18" r:id="rId2"/>
    <sheet name="Grafiek (2)" sheetId="41" r:id="rId3"/>
    <sheet name="originaliteit" sheetId="19" r:id="rId4"/>
    <sheet name="Grafiek (3)" sheetId="42" r:id="rId5"/>
    <sheet name="Teams" sheetId="9" r:id="rId6"/>
    <sheet name="Score" sheetId="10" r:id="rId7"/>
    <sheet name="SVU" sheetId="35" r:id="rId8"/>
    <sheet name="Selfkant" sheetId="37" r:id="rId9"/>
    <sheet name="City" sheetId="25" r:id="rId10"/>
    <sheet name="Lange" sheetId="14" r:id="rId11"/>
    <sheet name="Winner" sheetId="12" r:id="rId12"/>
    <sheet name="Ode" sheetId="30" r:id="rId13"/>
    <sheet name="IJff" sheetId="28" r:id="rId14"/>
    <sheet name="Ami" sheetId="45" r:id="rId15"/>
    <sheet name="Gran" sheetId="40" r:id="rId16"/>
    <sheet name="Mahawong" sheetId="16" r:id="rId17"/>
    <sheet name="Lothar" sheetId="21" r:id="rId18"/>
    <sheet name="Theo" sheetId="36" state="hidden" r:id="rId19"/>
    <sheet name="Casper" sheetId="33" state="hidden" r:id="rId20"/>
    <sheet name="Vino" sheetId="32" state="hidden" r:id="rId21"/>
    <sheet name="Omer" sheetId="15" state="hidden" r:id="rId22"/>
    <sheet name="TTT" sheetId="34" state="hidden" r:id="rId23"/>
    <sheet name="BertT" sheetId="17" state="hidden" r:id="rId24"/>
    <sheet name="HANDLEIDING" sheetId="43" r:id="rId25"/>
  </sheets>
  <definedNames>
    <definedName name="_xlnm.Print_Area" localSheetId="0">Etappes!$A$1:$Z$81</definedName>
    <definedName name="_xlnm.Print_Area" localSheetId="3">originaliteit!$A$1:$M$49</definedName>
    <definedName name="etappes">Score!$B$1:$Z$1</definedName>
    <definedName name="lijst_sheets">originaliteit!$B$1:$L$1</definedName>
    <definedName name="lijst_teams">Etappes!$B$3:$B$19</definedName>
    <definedName name="renners">Score!$B:$B</definedName>
    <definedName name="scorematrix">Score!$B:$Z</definedName>
    <definedName name="TABLE" localSheetId="23">BertT!#REF!</definedName>
    <definedName name="TABLE" localSheetId="19">Casper!#REF!</definedName>
    <definedName name="TABLE" localSheetId="21">Omer!#REF!</definedName>
    <definedName name="TABLE" localSheetId="18">Theo!#REF!</definedName>
    <definedName name="TABLE" localSheetId="22">TTT!#REF!</definedName>
    <definedName name="TABLE" localSheetId="20">Vino!#REF!</definedName>
    <definedName name="TABLE_2" localSheetId="23">BertT!#REF!</definedName>
    <definedName name="TABLE_2" localSheetId="19">Casper!#REF!</definedName>
    <definedName name="TABLE_2" localSheetId="21">Omer!#REF!</definedName>
    <definedName name="TABLE_2" localSheetId="18">Theo!#REF!</definedName>
    <definedName name="TABLE_2" localSheetId="22">TTT!#REF!</definedName>
    <definedName name="TABLE_2" localSheetId="20">Vino!#REF!</definedName>
    <definedName name="TABLE_3" localSheetId="23">BertT!#REF!</definedName>
    <definedName name="TABLE_3" localSheetId="19">Casper!#REF!</definedName>
    <definedName name="TABLE_3" localSheetId="21">Omer!#REF!</definedName>
    <definedName name="TABLE_3" localSheetId="18">Theo!#REF!</definedName>
    <definedName name="TABLE_3" localSheetId="22">TTT!#REF!</definedName>
    <definedName name="TABLE_3" localSheetId="20">Vino!#REF!</definedName>
  </definedNames>
  <calcPr calcId="125725"/>
</workbook>
</file>

<file path=xl/calcChain.xml><?xml version="1.0" encoding="utf-8"?>
<calcChain xmlns="http://schemas.openxmlformats.org/spreadsheetml/2006/main">
  <c r="X21" i="28"/>
  <c r="Y40" i="10"/>
  <c r="Y34"/>
  <c r="W4"/>
  <c r="W34"/>
  <c r="W3"/>
  <c r="W19"/>
  <c r="W18"/>
  <c r="W36"/>
  <c r="W6"/>
  <c r="V34"/>
  <c r="V23"/>
  <c r="V30"/>
  <c r="V14"/>
  <c r="V47"/>
  <c r="T40"/>
  <c r="T34"/>
  <c r="U34"/>
  <c r="U3"/>
  <c r="U6"/>
  <c r="U18"/>
  <c r="U19"/>
  <c r="U36"/>
  <c r="U47"/>
  <c r="T4"/>
  <c r="T10"/>
  <c r="T41"/>
  <c r="T30"/>
  <c r="T14"/>
  <c r="T47"/>
  <c r="S12"/>
  <c r="S34"/>
  <c r="S45"/>
  <c r="S41"/>
  <c r="S30"/>
  <c r="S14"/>
  <c r="S47"/>
  <c r="R34"/>
  <c r="R45"/>
  <c r="R19"/>
  <c r="R36"/>
  <c r="R4"/>
  <c r="R14"/>
  <c r="Q34"/>
  <c r="Q36"/>
  <c r="Q41"/>
  <c r="X41" s="1"/>
  <c r="Q10"/>
  <c r="Q30"/>
  <c r="Q14"/>
  <c r="Q47"/>
  <c r="P34"/>
  <c r="P3"/>
  <c r="P19"/>
  <c r="P36"/>
  <c r="P4"/>
  <c r="P41"/>
  <c r="P30"/>
  <c r="P10"/>
  <c r="P23"/>
  <c r="P47"/>
  <c r="P14"/>
  <c r="O34"/>
  <c r="O10"/>
  <c r="O18"/>
  <c r="O36"/>
  <c r="O4"/>
  <c r="O41"/>
  <c r="O30"/>
  <c r="O14"/>
  <c r="O47"/>
  <c r="N14"/>
  <c r="N34"/>
  <c r="N4"/>
  <c r="N41"/>
  <c r="N10"/>
  <c r="N30"/>
  <c r="N47"/>
  <c r="N38"/>
  <c r="M45"/>
  <c r="M14"/>
  <c r="M41"/>
  <c r="M28"/>
  <c r="M30"/>
  <c r="M10"/>
  <c r="M47"/>
  <c r="X47"/>
  <c r="L10"/>
  <c r="L14"/>
  <c r="L47"/>
  <c r="L28"/>
  <c r="L30"/>
  <c r="L23"/>
  <c r="L43"/>
  <c r="L5"/>
  <c r="K47"/>
  <c r="K10"/>
  <c r="K14"/>
  <c r="K41"/>
  <c r="K28"/>
  <c r="K30"/>
  <c r="J30"/>
  <c r="J47"/>
  <c r="J10"/>
  <c r="J14"/>
  <c r="J28"/>
  <c r="J39"/>
  <c r="J4"/>
  <c r="J34"/>
  <c r="I36"/>
  <c r="I31"/>
  <c r="I19"/>
  <c r="I18"/>
  <c r="I23"/>
  <c r="I30"/>
  <c r="I10"/>
  <c r="H36"/>
  <c r="H31"/>
  <c r="H6"/>
  <c r="H19"/>
  <c r="H18"/>
  <c r="H3"/>
  <c r="H47"/>
  <c r="G36"/>
  <c r="G3"/>
  <c r="G19"/>
  <c r="G18"/>
  <c r="G5"/>
  <c r="G43"/>
  <c r="G31"/>
  <c r="Y26" i="12"/>
  <c r="X26"/>
  <c r="W26"/>
  <c r="V26"/>
  <c r="U26"/>
  <c r="T26"/>
  <c r="S26"/>
  <c r="R26"/>
  <c r="Q26"/>
  <c r="P26"/>
  <c r="O26"/>
  <c r="N26"/>
  <c r="M26"/>
  <c r="L26"/>
  <c r="K26"/>
  <c r="J26"/>
  <c r="I26"/>
  <c r="H26"/>
  <c r="G26"/>
  <c r="F26"/>
  <c r="E26"/>
  <c r="D26"/>
  <c r="Y25"/>
  <c r="X25"/>
  <c r="W25"/>
  <c r="V25"/>
  <c r="U25"/>
  <c r="T25"/>
  <c r="S25"/>
  <c r="R25"/>
  <c r="Q25"/>
  <c r="P25"/>
  <c r="O25"/>
  <c r="N25"/>
  <c r="M25"/>
  <c r="L25"/>
  <c r="K25"/>
  <c r="J25"/>
  <c r="I25"/>
  <c r="H25"/>
  <c r="G25"/>
  <c r="F25"/>
  <c r="E25"/>
  <c r="D25"/>
  <c r="Y24"/>
  <c r="X24"/>
  <c r="W24"/>
  <c r="V24"/>
  <c r="U24"/>
  <c r="T24"/>
  <c r="S24"/>
  <c r="R24"/>
  <c r="Q24"/>
  <c r="P24"/>
  <c r="O24"/>
  <c r="N24"/>
  <c r="M24"/>
  <c r="L24"/>
  <c r="K24"/>
  <c r="J24"/>
  <c r="I24"/>
  <c r="I21" s="1"/>
  <c r="H24"/>
  <c r="G24"/>
  <c r="F24"/>
  <c r="E24"/>
  <c r="D24"/>
  <c r="Y26" i="35"/>
  <c r="X26"/>
  <c r="W26"/>
  <c r="V26"/>
  <c r="U26"/>
  <c r="T26"/>
  <c r="S26"/>
  <c r="R26"/>
  <c r="Q26"/>
  <c r="P26"/>
  <c r="O26"/>
  <c r="N26"/>
  <c r="M26"/>
  <c r="L26"/>
  <c r="K26"/>
  <c r="J26"/>
  <c r="I26"/>
  <c r="H26"/>
  <c r="G26"/>
  <c r="F26"/>
  <c r="E26"/>
  <c r="D26"/>
  <c r="Y25"/>
  <c r="X25"/>
  <c r="W25"/>
  <c r="V25"/>
  <c r="U25"/>
  <c r="T25"/>
  <c r="S25"/>
  <c r="R25"/>
  <c r="Q25"/>
  <c r="P25"/>
  <c r="O25"/>
  <c r="N25"/>
  <c r="M25"/>
  <c r="M21" s="1"/>
  <c r="L25"/>
  <c r="K25"/>
  <c r="J25"/>
  <c r="I25"/>
  <c r="H25"/>
  <c r="G25"/>
  <c r="F25"/>
  <c r="E25"/>
  <c r="D25"/>
  <c r="Y24"/>
  <c r="X24"/>
  <c r="W24"/>
  <c r="V24"/>
  <c r="U24"/>
  <c r="T24"/>
  <c r="S24"/>
  <c r="R24"/>
  <c r="Q24"/>
  <c r="P24"/>
  <c r="O24"/>
  <c r="N24"/>
  <c r="M24"/>
  <c r="L24"/>
  <c r="K24"/>
  <c r="J24"/>
  <c r="I24"/>
  <c r="H24"/>
  <c r="G24"/>
  <c r="F24"/>
  <c r="E24"/>
  <c r="D24"/>
  <c r="Y26" i="37"/>
  <c r="X26"/>
  <c r="W26"/>
  <c r="V26"/>
  <c r="U26"/>
  <c r="T26"/>
  <c r="S26"/>
  <c r="R26"/>
  <c r="Q26"/>
  <c r="P26"/>
  <c r="O26"/>
  <c r="N26"/>
  <c r="M26"/>
  <c r="L26"/>
  <c r="K26"/>
  <c r="J26"/>
  <c r="I26"/>
  <c r="H26"/>
  <c r="G26"/>
  <c r="F26"/>
  <c r="E26"/>
  <c r="D26"/>
  <c r="Y25"/>
  <c r="X25"/>
  <c r="W25"/>
  <c r="V25"/>
  <c r="U25"/>
  <c r="T25"/>
  <c r="S25"/>
  <c r="R25"/>
  <c r="Q25"/>
  <c r="P25"/>
  <c r="O25"/>
  <c r="N25"/>
  <c r="M25"/>
  <c r="M21" s="1"/>
  <c r="L25"/>
  <c r="K25"/>
  <c r="J25"/>
  <c r="I25"/>
  <c r="H25"/>
  <c r="G25"/>
  <c r="F25"/>
  <c r="E25"/>
  <c r="D25"/>
  <c r="Y24"/>
  <c r="X24"/>
  <c r="W24"/>
  <c r="V24"/>
  <c r="U24"/>
  <c r="T24"/>
  <c r="S24"/>
  <c r="R24"/>
  <c r="Q24"/>
  <c r="P24"/>
  <c r="O24"/>
  <c r="N24"/>
  <c r="M24"/>
  <c r="L24"/>
  <c r="K24"/>
  <c r="J24"/>
  <c r="I24"/>
  <c r="H24"/>
  <c r="G24"/>
  <c r="F24"/>
  <c r="E24"/>
  <c r="D24"/>
  <c r="Y26" i="25"/>
  <c r="X26"/>
  <c r="W26"/>
  <c r="V26"/>
  <c r="U26"/>
  <c r="T26"/>
  <c r="T21" s="1"/>
  <c r="S26"/>
  <c r="R26"/>
  <c r="Q26"/>
  <c r="P26"/>
  <c r="O26"/>
  <c r="N26"/>
  <c r="M26"/>
  <c r="L26"/>
  <c r="K26"/>
  <c r="J26"/>
  <c r="I26"/>
  <c r="H26"/>
  <c r="G26"/>
  <c r="F26"/>
  <c r="E26"/>
  <c r="D26"/>
  <c r="Y25"/>
  <c r="X25"/>
  <c r="W25"/>
  <c r="V25"/>
  <c r="U25"/>
  <c r="T25"/>
  <c r="S25"/>
  <c r="R25"/>
  <c r="Q25"/>
  <c r="P25"/>
  <c r="O25"/>
  <c r="N25"/>
  <c r="M25"/>
  <c r="L25"/>
  <c r="K25"/>
  <c r="J25"/>
  <c r="I25"/>
  <c r="H25"/>
  <c r="G25"/>
  <c r="F25"/>
  <c r="E25"/>
  <c r="D25"/>
  <c r="Y24"/>
  <c r="X24"/>
  <c r="W24"/>
  <c r="V24"/>
  <c r="U24"/>
  <c r="T24"/>
  <c r="S24"/>
  <c r="R24"/>
  <c r="Q24"/>
  <c r="P24"/>
  <c r="O24"/>
  <c r="N24"/>
  <c r="M24"/>
  <c r="L24"/>
  <c r="K24"/>
  <c r="J24"/>
  <c r="I24"/>
  <c r="H24"/>
  <c r="G24"/>
  <c r="F24"/>
  <c r="E24"/>
  <c r="D24"/>
  <c r="Y26" i="14"/>
  <c r="X26"/>
  <c r="W26"/>
  <c r="V26"/>
  <c r="U26"/>
  <c r="T26"/>
  <c r="S26"/>
  <c r="R26"/>
  <c r="Q26"/>
  <c r="P26"/>
  <c r="O26"/>
  <c r="N26"/>
  <c r="M26"/>
  <c r="L26"/>
  <c r="K26"/>
  <c r="J26"/>
  <c r="I26"/>
  <c r="H26"/>
  <c r="G26"/>
  <c r="F26"/>
  <c r="E26"/>
  <c r="D26"/>
  <c r="Y25"/>
  <c r="X25"/>
  <c r="W25"/>
  <c r="V25"/>
  <c r="U25"/>
  <c r="T25"/>
  <c r="S25"/>
  <c r="R25"/>
  <c r="Q25"/>
  <c r="P25"/>
  <c r="O25"/>
  <c r="N25"/>
  <c r="M25"/>
  <c r="L25"/>
  <c r="K25"/>
  <c r="J25"/>
  <c r="I25"/>
  <c r="H25"/>
  <c r="G25"/>
  <c r="F25"/>
  <c r="E25"/>
  <c r="D25"/>
  <c r="Y24"/>
  <c r="X24"/>
  <c r="W24"/>
  <c r="V24"/>
  <c r="U24"/>
  <c r="T24"/>
  <c r="S24"/>
  <c r="R24"/>
  <c r="Q24"/>
  <c r="P24"/>
  <c r="O24"/>
  <c r="N24"/>
  <c r="M24"/>
  <c r="L24"/>
  <c r="K24"/>
  <c r="J24"/>
  <c r="I24"/>
  <c r="H24"/>
  <c r="G24"/>
  <c r="F24"/>
  <c r="E24"/>
  <c r="D24"/>
  <c r="Y26" i="28"/>
  <c r="X26"/>
  <c r="W26"/>
  <c r="V26"/>
  <c r="U26"/>
  <c r="T26"/>
  <c r="S26"/>
  <c r="R26"/>
  <c r="Q26"/>
  <c r="P26"/>
  <c r="O26"/>
  <c r="N26"/>
  <c r="M26"/>
  <c r="L26"/>
  <c r="K26"/>
  <c r="J26"/>
  <c r="I26"/>
  <c r="H26"/>
  <c r="G26"/>
  <c r="F26"/>
  <c r="E26"/>
  <c r="D26"/>
  <c r="Y25"/>
  <c r="X25"/>
  <c r="W25"/>
  <c r="V25"/>
  <c r="U25"/>
  <c r="T25"/>
  <c r="T21" s="1"/>
  <c r="S25"/>
  <c r="R25"/>
  <c r="Q25"/>
  <c r="P25"/>
  <c r="O25"/>
  <c r="N25"/>
  <c r="M25"/>
  <c r="L25"/>
  <c r="K25"/>
  <c r="J25"/>
  <c r="I25"/>
  <c r="H25"/>
  <c r="G25"/>
  <c r="F25"/>
  <c r="E25"/>
  <c r="D25"/>
  <c r="Y24"/>
  <c r="X24"/>
  <c r="W24"/>
  <c r="V24"/>
  <c r="U24"/>
  <c r="T24"/>
  <c r="S24"/>
  <c r="R24"/>
  <c r="Q24"/>
  <c r="P24"/>
  <c r="O24"/>
  <c r="N24"/>
  <c r="M24"/>
  <c r="L24"/>
  <c r="K24"/>
  <c r="J24"/>
  <c r="I24"/>
  <c r="H24"/>
  <c r="G24"/>
  <c r="F24"/>
  <c r="E24"/>
  <c r="D24"/>
  <c r="Y26" i="16"/>
  <c r="X26"/>
  <c r="W26"/>
  <c r="V26"/>
  <c r="U26"/>
  <c r="T26"/>
  <c r="S26"/>
  <c r="R26"/>
  <c r="Q26"/>
  <c r="P26"/>
  <c r="O26"/>
  <c r="N26"/>
  <c r="M26"/>
  <c r="L26"/>
  <c r="K26"/>
  <c r="J26"/>
  <c r="I26"/>
  <c r="H26"/>
  <c r="G26"/>
  <c r="F26"/>
  <c r="E26"/>
  <c r="D26"/>
  <c r="Y25"/>
  <c r="X25"/>
  <c r="W25"/>
  <c r="V25"/>
  <c r="U25"/>
  <c r="T25"/>
  <c r="S25"/>
  <c r="R25"/>
  <c r="Q25"/>
  <c r="P25"/>
  <c r="O25"/>
  <c r="O21" s="1"/>
  <c r="N25"/>
  <c r="M25"/>
  <c r="L25"/>
  <c r="K25"/>
  <c r="J25"/>
  <c r="I25"/>
  <c r="H25"/>
  <c r="G25"/>
  <c r="F25"/>
  <c r="E25"/>
  <c r="D25"/>
  <c r="Y24"/>
  <c r="X24"/>
  <c r="W24"/>
  <c r="V24"/>
  <c r="U24"/>
  <c r="T24"/>
  <c r="S24"/>
  <c r="R24"/>
  <c r="Q24"/>
  <c r="P24"/>
  <c r="O24"/>
  <c r="N24"/>
  <c r="M24"/>
  <c r="L24"/>
  <c r="K24"/>
  <c r="J24"/>
  <c r="I24"/>
  <c r="H24"/>
  <c r="G24"/>
  <c r="F24"/>
  <c r="E24"/>
  <c r="D24"/>
  <c r="Y26" i="40"/>
  <c r="X26"/>
  <c r="W26"/>
  <c r="V26"/>
  <c r="U26"/>
  <c r="T26"/>
  <c r="S26"/>
  <c r="R26"/>
  <c r="Q26"/>
  <c r="P26"/>
  <c r="O26"/>
  <c r="N26"/>
  <c r="M26"/>
  <c r="L26"/>
  <c r="K26"/>
  <c r="J26"/>
  <c r="J21" s="1"/>
  <c r="I26"/>
  <c r="H26"/>
  <c r="G26"/>
  <c r="F26"/>
  <c r="E26"/>
  <c r="D26"/>
  <c r="Y25"/>
  <c r="X25"/>
  <c r="W25"/>
  <c r="V25"/>
  <c r="U25"/>
  <c r="T25"/>
  <c r="S25"/>
  <c r="R25"/>
  <c r="Q25"/>
  <c r="P25"/>
  <c r="O25"/>
  <c r="N25"/>
  <c r="M25"/>
  <c r="L25"/>
  <c r="K25"/>
  <c r="J25"/>
  <c r="I25"/>
  <c r="H25"/>
  <c r="G25"/>
  <c r="F25"/>
  <c r="E25"/>
  <c r="D25"/>
  <c r="Y24"/>
  <c r="X24"/>
  <c r="W24"/>
  <c r="V24"/>
  <c r="U24"/>
  <c r="T24"/>
  <c r="S24"/>
  <c r="R24"/>
  <c r="Q24"/>
  <c r="P24"/>
  <c r="O24"/>
  <c r="N24"/>
  <c r="M24"/>
  <c r="L24"/>
  <c r="K24"/>
  <c r="K21" s="1"/>
  <c r="J24"/>
  <c r="I24"/>
  <c r="H24"/>
  <c r="G24"/>
  <c r="F24"/>
  <c r="E24"/>
  <c r="D24"/>
  <c r="Y26" i="45"/>
  <c r="X26"/>
  <c r="W26"/>
  <c r="V26"/>
  <c r="U26"/>
  <c r="T26"/>
  <c r="S26"/>
  <c r="R26"/>
  <c r="Q26"/>
  <c r="P26"/>
  <c r="O26"/>
  <c r="N26"/>
  <c r="M26"/>
  <c r="L26"/>
  <c r="K26"/>
  <c r="J26"/>
  <c r="I26"/>
  <c r="H26"/>
  <c r="G26"/>
  <c r="F26"/>
  <c r="E26"/>
  <c r="D26"/>
  <c r="Y25"/>
  <c r="X25"/>
  <c r="W25"/>
  <c r="V25"/>
  <c r="U25"/>
  <c r="T25"/>
  <c r="S25"/>
  <c r="R25"/>
  <c r="Q25"/>
  <c r="P25"/>
  <c r="O25"/>
  <c r="N25"/>
  <c r="M25"/>
  <c r="L25"/>
  <c r="K25"/>
  <c r="J25"/>
  <c r="I25"/>
  <c r="H25"/>
  <c r="G25"/>
  <c r="F25"/>
  <c r="E25"/>
  <c r="D25"/>
  <c r="Y24"/>
  <c r="X24"/>
  <c r="W24"/>
  <c r="V24"/>
  <c r="U24"/>
  <c r="T24"/>
  <c r="S24"/>
  <c r="R24"/>
  <c r="Q24"/>
  <c r="P24"/>
  <c r="O24"/>
  <c r="N24"/>
  <c r="M24"/>
  <c r="M21" s="1"/>
  <c r="L24"/>
  <c r="K24"/>
  <c r="J24"/>
  <c r="I24"/>
  <c r="H24"/>
  <c r="G24"/>
  <c r="F24"/>
  <c r="E24"/>
  <c r="D24"/>
  <c r="Y26" i="30"/>
  <c r="X26"/>
  <c r="W26"/>
  <c r="V26"/>
  <c r="U26"/>
  <c r="T26"/>
  <c r="S26"/>
  <c r="R26"/>
  <c r="R21" s="1"/>
  <c r="Q26"/>
  <c r="P26"/>
  <c r="O26"/>
  <c r="N26"/>
  <c r="M26"/>
  <c r="L26"/>
  <c r="K26"/>
  <c r="J26"/>
  <c r="I26"/>
  <c r="H26"/>
  <c r="G26"/>
  <c r="F26"/>
  <c r="E26"/>
  <c r="D26"/>
  <c r="Y25"/>
  <c r="X25"/>
  <c r="W25"/>
  <c r="V25"/>
  <c r="U25"/>
  <c r="T25"/>
  <c r="S25"/>
  <c r="R25"/>
  <c r="Q25"/>
  <c r="P25"/>
  <c r="O25"/>
  <c r="O21" s="1"/>
  <c r="N25"/>
  <c r="M25"/>
  <c r="L25"/>
  <c r="K25"/>
  <c r="J25"/>
  <c r="I25"/>
  <c r="H25"/>
  <c r="G25"/>
  <c r="F25"/>
  <c r="E25"/>
  <c r="D25"/>
  <c r="Y24"/>
  <c r="X24"/>
  <c r="W24"/>
  <c r="V24"/>
  <c r="U24"/>
  <c r="T24"/>
  <c r="S24"/>
  <c r="R24"/>
  <c r="Q24"/>
  <c r="P24"/>
  <c r="O24"/>
  <c r="N24"/>
  <c r="M24"/>
  <c r="M21" s="1"/>
  <c r="L24"/>
  <c r="K24"/>
  <c r="J24"/>
  <c r="I24"/>
  <c r="H24"/>
  <c r="G24"/>
  <c r="F24"/>
  <c r="E24"/>
  <c r="D24"/>
  <c r="D24" i="21"/>
  <c r="E24"/>
  <c r="F24"/>
  <c r="G24"/>
  <c r="H24"/>
  <c r="I24"/>
  <c r="J24"/>
  <c r="K24"/>
  <c r="L24"/>
  <c r="M24"/>
  <c r="N24"/>
  <c r="O24"/>
  <c r="P24"/>
  <c r="Q24"/>
  <c r="R24"/>
  <c r="S24"/>
  <c r="T24"/>
  <c r="U24"/>
  <c r="V24"/>
  <c r="W24"/>
  <c r="X24"/>
  <c r="Y24"/>
  <c r="D26"/>
  <c r="E26"/>
  <c r="F26"/>
  <c r="G26"/>
  <c r="H26"/>
  <c r="I26"/>
  <c r="J26"/>
  <c r="K26"/>
  <c r="L26"/>
  <c r="M26"/>
  <c r="N26"/>
  <c r="O26"/>
  <c r="P26"/>
  <c r="Q26"/>
  <c r="R26"/>
  <c r="S26"/>
  <c r="T26"/>
  <c r="U26"/>
  <c r="U21" s="1"/>
  <c r="V26"/>
  <c r="W26"/>
  <c r="X26"/>
  <c r="Y26"/>
  <c r="E25"/>
  <c r="F25"/>
  <c r="G25"/>
  <c r="H25"/>
  <c r="I25"/>
  <c r="J25"/>
  <c r="K25"/>
  <c r="L25"/>
  <c r="M25"/>
  <c r="N25"/>
  <c r="O25"/>
  <c r="P25"/>
  <c r="Q25"/>
  <c r="R25"/>
  <c r="S25"/>
  <c r="T25"/>
  <c r="U25"/>
  <c r="V25"/>
  <c r="W25"/>
  <c r="X25"/>
  <c r="Y25"/>
  <c r="D25"/>
  <c r="F36" i="10"/>
  <c r="F3"/>
  <c r="F5"/>
  <c r="F23"/>
  <c r="F20"/>
  <c r="F30"/>
  <c r="F10"/>
  <c r="F29"/>
  <c r="F37"/>
  <c r="F43"/>
  <c r="X48"/>
  <c r="X46"/>
  <c r="X45"/>
  <c r="X44"/>
  <c r="X43"/>
  <c r="X42"/>
  <c r="X40"/>
  <c r="X39"/>
  <c r="X38"/>
  <c r="X37"/>
  <c r="X36"/>
  <c r="X35"/>
  <c r="X34"/>
  <c r="X33"/>
  <c r="X32"/>
  <c r="X31"/>
  <c r="X29"/>
  <c r="X28"/>
  <c r="X27"/>
  <c r="P20" i="9" s="1"/>
  <c r="X26" i="10"/>
  <c r="X25"/>
  <c r="X24"/>
  <c r="X23"/>
  <c r="X22"/>
  <c r="P26" i="9" s="1"/>
  <c r="X21" i="10"/>
  <c r="P25" i="9" s="1"/>
  <c r="X20" i="10"/>
  <c r="X19"/>
  <c r="X18"/>
  <c r="X17"/>
  <c r="X16"/>
  <c r="X15"/>
  <c r="X14"/>
  <c r="X13"/>
  <c r="X12"/>
  <c r="X11"/>
  <c r="X10"/>
  <c r="X9"/>
  <c r="X8"/>
  <c r="X7"/>
  <c r="P18" i="9" s="1"/>
  <c r="X6" i="10"/>
  <c r="X5"/>
  <c r="X4"/>
  <c r="X3"/>
  <c r="X2"/>
  <c r="E36"/>
  <c r="E3"/>
  <c r="E18"/>
  <c r="E5"/>
  <c r="E6"/>
  <c r="Y62" i="2"/>
  <c r="Y63"/>
  <c r="D36" i="10"/>
  <c r="D17"/>
  <c r="D3"/>
  <c r="D5"/>
  <c r="D20"/>
  <c r="D30"/>
  <c r="D10"/>
  <c r="D47"/>
  <c r="D49" i="19"/>
  <c r="U20" i="9"/>
  <c r="U21"/>
  <c r="U22"/>
  <c r="U23"/>
  <c r="U24"/>
  <c r="U25"/>
  <c r="U26"/>
  <c r="U3"/>
  <c r="O2"/>
  <c r="O3"/>
  <c r="O4"/>
  <c r="O5"/>
  <c r="O6"/>
  <c r="O7"/>
  <c r="O8"/>
  <c r="O9"/>
  <c r="O10"/>
  <c r="O11"/>
  <c r="O12"/>
  <c r="O13"/>
  <c r="O14"/>
  <c r="O15"/>
  <c r="O16"/>
  <c r="O17"/>
  <c r="O18"/>
  <c r="O19"/>
  <c r="O20"/>
  <c r="O21"/>
  <c r="O22"/>
  <c r="O23"/>
  <c r="O24"/>
  <c r="O25"/>
  <c r="O26"/>
  <c r="O1"/>
  <c r="N10" i="19"/>
  <c r="L2"/>
  <c r="E2"/>
  <c r="H2"/>
  <c r="D2"/>
  <c r="H36"/>
  <c r="B32"/>
  <c r="I39"/>
  <c r="L40"/>
  <c r="I32"/>
  <c r="H27"/>
  <c r="F27"/>
  <c r="B27"/>
  <c r="F36"/>
  <c r="D27"/>
  <c r="G27"/>
  <c r="L36"/>
  <c r="C2"/>
  <c r="I2"/>
  <c r="C27"/>
  <c r="E27"/>
  <c r="J2"/>
  <c r="E32"/>
  <c r="F2"/>
  <c r="C32"/>
  <c r="B2"/>
  <c r="K42"/>
  <c r="K40"/>
  <c r="D32"/>
  <c r="G2"/>
  <c r="L39"/>
  <c r="X30" i="10" l="1"/>
  <c r="P5" i="9"/>
  <c r="M21" i="21"/>
  <c r="P11" i="9"/>
  <c r="P9"/>
  <c r="P7"/>
  <c r="C3" i="10"/>
  <c r="C47"/>
  <c r="C5"/>
  <c r="C17"/>
  <c r="C28"/>
  <c r="Z44" l="1"/>
  <c r="N16" i="19" s="1"/>
  <c r="Z42" i="10"/>
  <c r="N14" i="19" s="1"/>
  <c r="Z24" i="10"/>
  <c r="Z31"/>
  <c r="N12" i="19" s="1"/>
  <c r="Z12" i="10"/>
  <c r="N5" i="19" s="1"/>
  <c r="Z43" i="10"/>
  <c r="N15" i="19" s="1"/>
  <c r="AA20" i="45" l="1"/>
  <c r="Y20"/>
  <c r="AA19"/>
  <c r="Y19"/>
  <c r="AA18"/>
  <c r="Y18"/>
  <c r="AA17"/>
  <c r="Y17"/>
  <c r="AA16"/>
  <c r="Y16"/>
  <c r="AA15"/>
  <c r="Y15"/>
  <c r="AA14"/>
  <c r="Y14"/>
  <c r="AA13"/>
  <c r="Y13"/>
  <c r="AA12"/>
  <c r="Y12"/>
  <c r="AA11"/>
  <c r="Y11"/>
  <c r="AA10"/>
  <c r="Y10"/>
  <c r="AA9"/>
  <c r="Y9"/>
  <c r="AA8"/>
  <c r="Y8"/>
  <c r="AA7"/>
  <c r="Y7"/>
  <c r="AA6"/>
  <c r="Y6"/>
  <c r="AA5"/>
  <c r="Y5"/>
  <c r="AA4"/>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B6" i="19"/>
  <c r="B19"/>
  <c r="B17"/>
  <c r="B11"/>
  <c r="B29"/>
  <c r="B20"/>
  <c r="B14"/>
  <c r="B5"/>
  <c r="B4"/>
  <c r="B8"/>
  <c r="B10"/>
  <c r="B7"/>
  <c r="B9"/>
  <c r="B24"/>
  <c r="B31"/>
  <c r="B3"/>
  <c r="K4" i="45" l="1"/>
  <c r="G4"/>
  <c r="O4"/>
  <c r="E4"/>
  <c r="I4"/>
  <c r="M4"/>
  <c r="Y22"/>
  <c r="Z20"/>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AB13" i="2"/>
  <c r="AB14"/>
  <c r="AC14" s="1"/>
  <c r="AB15"/>
  <c r="AC15" s="1"/>
  <c r="AB16"/>
  <c r="AC16" s="1"/>
  <c r="AB17"/>
  <c r="AC17" s="1"/>
  <c r="AB18"/>
  <c r="AC18" s="1"/>
  <c r="AB19"/>
  <c r="AC19" s="1"/>
  <c r="AB4"/>
  <c r="AB5"/>
  <c r="AB6"/>
  <c r="AB7"/>
  <c r="AB8"/>
  <c r="AB9"/>
  <c r="AB10"/>
  <c r="AB11"/>
  <c r="AB12"/>
  <c r="AB3"/>
  <c r="M18"/>
  <c r="R19"/>
  <c r="U16"/>
  <c r="F18"/>
  <c r="M19"/>
  <c r="D15"/>
  <c r="G15"/>
  <c r="R17"/>
  <c r="O15"/>
  <c r="H14"/>
  <c r="W19"/>
  <c r="Q15"/>
  <c r="B17"/>
  <c r="K17"/>
  <c r="B15"/>
  <c r="R18"/>
  <c r="F14"/>
  <c r="U18"/>
  <c r="T15"/>
  <c r="K14"/>
  <c r="B13"/>
  <c r="K15"/>
  <c r="C15"/>
  <c r="H17"/>
  <c r="O16"/>
  <c r="J16"/>
  <c r="B19"/>
  <c r="V17"/>
  <c r="S14"/>
  <c r="M14"/>
  <c r="V15"/>
  <c r="M16"/>
  <c r="W16"/>
  <c r="N19"/>
  <c r="P18"/>
  <c r="G14"/>
  <c r="M15"/>
  <c r="J15"/>
  <c r="E16"/>
  <c r="D17"/>
  <c r="S18"/>
  <c r="C16"/>
  <c r="T14"/>
  <c r="I17"/>
  <c r="U15"/>
  <c r="R16"/>
  <c r="Q18"/>
  <c r="G18"/>
  <c r="T19"/>
  <c r="J14"/>
  <c r="V14"/>
  <c r="H19"/>
  <c r="Q19"/>
  <c r="E18"/>
  <c r="B11"/>
  <c r="H15"/>
  <c r="X18"/>
  <c r="X14"/>
  <c r="Q17"/>
  <c r="O19"/>
  <c r="B14"/>
  <c r="S16"/>
  <c r="G16"/>
  <c r="S15"/>
  <c r="Q16"/>
  <c r="L16"/>
  <c r="I14"/>
  <c r="P19"/>
  <c r="C18"/>
  <c r="P15"/>
  <c r="P14"/>
  <c r="L18"/>
  <c r="W17"/>
  <c r="L19"/>
  <c r="O14"/>
  <c r="D19"/>
  <c r="J19"/>
  <c r="X19"/>
  <c r="C19"/>
  <c r="F19"/>
  <c r="C14"/>
  <c r="T17"/>
  <c r="L17"/>
  <c r="R15"/>
  <c r="V18"/>
  <c r="N15"/>
  <c r="T16"/>
  <c r="P16"/>
  <c r="W15"/>
  <c r="X17"/>
  <c r="I18"/>
  <c r="D16"/>
  <c r="C17"/>
  <c r="E15"/>
  <c r="W14"/>
  <c r="N14"/>
  <c r="V16"/>
  <c r="B16"/>
  <c r="X16"/>
  <c r="J18"/>
  <c r="E19"/>
  <c r="I16"/>
  <c r="N18"/>
  <c r="B18"/>
  <c r="X15"/>
  <c r="U17"/>
  <c r="D18"/>
  <c r="S19"/>
  <c r="W18"/>
  <c r="F15"/>
  <c r="K18"/>
  <c r="D14"/>
  <c r="K16"/>
  <c r="P17"/>
  <c r="S17"/>
  <c r="I19"/>
  <c r="Q14"/>
  <c r="N16"/>
  <c r="V19"/>
  <c r="T18"/>
  <c r="M17"/>
  <c r="O17"/>
  <c r="H16"/>
  <c r="E17"/>
  <c r="U19"/>
  <c r="G19"/>
  <c r="H18"/>
  <c r="R14"/>
  <c r="I15"/>
  <c r="N17"/>
  <c r="L15"/>
  <c r="U14"/>
  <c r="L14"/>
  <c r="J17"/>
  <c r="K19"/>
  <c r="E14"/>
  <c r="F17"/>
  <c r="F16"/>
  <c r="O18"/>
  <c r="G17"/>
  <c r="B32" l="1"/>
  <c r="B47" s="1"/>
  <c r="B30"/>
  <c r="B45" s="1"/>
  <c r="O22" i="45"/>
  <c r="G22"/>
  <c r="M22"/>
  <c r="I22"/>
  <c r="E22"/>
  <c r="K22"/>
  <c r="Y19" i="2"/>
  <c r="Z19" s="1"/>
  <c r="Y17"/>
  <c r="Z17" s="1"/>
  <c r="Y15"/>
  <c r="Z15" s="1"/>
  <c r="Y18"/>
  <c r="Z18" s="1"/>
  <c r="Y16"/>
  <c r="Z16" s="1"/>
  <c r="Y14"/>
  <c r="Z14" s="1"/>
  <c r="D22" i="45"/>
  <c r="Z4"/>
  <c r="Z18"/>
  <c r="Z16"/>
  <c r="Z14"/>
  <c r="Z12"/>
  <c r="Z10"/>
  <c r="Z8"/>
  <c r="Z6"/>
  <c r="X22"/>
  <c r="T22"/>
  <c r="P22"/>
  <c r="L22"/>
  <c r="H22"/>
  <c r="U22"/>
  <c r="Q22"/>
  <c r="Z19"/>
  <c r="Z17"/>
  <c r="Z15"/>
  <c r="Z13"/>
  <c r="Z11"/>
  <c r="Z9"/>
  <c r="Z7"/>
  <c r="Z5"/>
  <c r="V22"/>
  <c r="R22"/>
  <c r="N22"/>
  <c r="J22"/>
  <c r="F22"/>
  <c r="W22"/>
  <c r="S22"/>
  <c r="Z22" l="1"/>
  <c r="Y20" i="12" l="1"/>
  <c r="Y19"/>
  <c r="Y18"/>
  <c r="Y17"/>
  <c r="Y16"/>
  <c r="Y15"/>
  <c r="Y14"/>
  <c r="Y13"/>
  <c r="Y12"/>
  <c r="Y11"/>
  <c r="Y10"/>
  <c r="Y9"/>
  <c r="Y8"/>
  <c r="Y7"/>
  <c r="Y6"/>
  <c r="Y5"/>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Y20" i="35"/>
  <c r="Y19"/>
  <c r="Y18"/>
  <c r="Y17"/>
  <c r="Y16"/>
  <c r="Y15"/>
  <c r="Y14"/>
  <c r="Y13"/>
  <c r="Y12"/>
  <c r="Y11"/>
  <c r="Y10"/>
  <c r="Y9"/>
  <c r="Y8"/>
  <c r="Y7"/>
  <c r="Y6"/>
  <c r="Y5"/>
  <c r="Y4"/>
  <c r="X3"/>
  <c r="X13" s="1"/>
  <c r="W3"/>
  <c r="V3"/>
  <c r="V13" s="1"/>
  <c r="U3"/>
  <c r="T3"/>
  <c r="T13" s="1"/>
  <c r="S3"/>
  <c r="R3"/>
  <c r="R13" s="1"/>
  <c r="Q3"/>
  <c r="P3"/>
  <c r="P13" s="1"/>
  <c r="O3"/>
  <c r="N3"/>
  <c r="N13" s="1"/>
  <c r="M3"/>
  <c r="L3"/>
  <c r="L13" s="1"/>
  <c r="K3"/>
  <c r="K4" s="1"/>
  <c r="J3"/>
  <c r="J14" s="1"/>
  <c r="I3"/>
  <c r="I4" s="1"/>
  <c r="H3"/>
  <c r="H13" s="1"/>
  <c r="G3"/>
  <c r="G4" s="1"/>
  <c r="F3"/>
  <c r="F14" s="1"/>
  <c r="E3"/>
  <c r="E4" s="1"/>
  <c r="D3"/>
  <c r="D14" s="1"/>
  <c r="Y20" i="37"/>
  <c r="Y19"/>
  <c r="Y18"/>
  <c r="Y17"/>
  <c r="Y16"/>
  <c r="Y15"/>
  <c r="Y14"/>
  <c r="Y13"/>
  <c r="Y12"/>
  <c r="Y11"/>
  <c r="Y10"/>
  <c r="Y9"/>
  <c r="Y8"/>
  <c r="Y7"/>
  <c r="Y6"/>
  <c r="Y5"/>
  <c r="Y4"/>
  <c r="X3"/>
  <c r="X5" s="1"/>
  <c r="W3"/>
  <c r="W4" s="1"/>
  <c r="V3"/>
  <c r="V5" s="1"/>
  <c r="U3"/>
  <c r="U4" s="1"/>
  <c r="T3"/>
  <c r="T5" s="1"/>
  <c r="S3"/>
  <c r="S5" s="1"/>
  <c r="R3"/>
  <c r="R5" s="1"/>
  <c r="Q3"/>
  <c r="Q4" s="1"/>
  <c r="P3"/>
  <c r="P6" s="1"/>
  <c r="O3"/>
  <c r="O5" s="1"/>
  <c r="N3"/>
  <c r="N6" s="1"/>
  <c r="M3"/>
  <c r="M4" s="1"/>
  <c r="L3"/>
  <c r="L6" s="1"/>
  <c r="K3"/>
  <c r="K5" s="1"/>
  <c r="J3"/>
  <c r="J6" s="1"/>
  <c r="I3"/>
  <c r="I4" s="1"/>
  <c r="H3"/>
  <c r="H6" s="1"/>
  <c r="G3"/>
  <c r="G5" s="1"/>
  <c r="F3"/>
  <c r="F6" s="1"/>
  <c r="E3"/>
  <c r="E4" s="1"/>
  <c r="D3"/>
  <c r="D6" s="1"/>
  <c r="Y20" i="25"/>
  <c r="Y19"/>
  <c r="Y18"/>
  <c r="Y17"/>
  <c r="Y16"/>
  <c r="Y15"/>
  <c r="Y14"/>
  <c r="Y13"/>
  <c r="Y12"/>
  <c r="Y11"/>
  <c r="Y10"/>
  <c r="Y9"/>
  <c r="Y8"/>
  <c r="Y7"/>
  <c r="Y6"/>
  <c r="Y5"/>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Y20" i="14"/>
  <c r="Y19"/>
  <c r="Y18"/>
  <c r="Y17"/>
  <c r="Y16"/>
  <c r="Y15"/>
  <c r="Y14"/>
  <c r="Y13"/>
  <c r="Y12"/>
  <c r="Y11"/>
  <c r="Y10"/>
  <c r="Y9"/>
  <c r="Y8"/>
  <c r="Y7"/>
  <c r="Y6"/>
  <c r="Y5"/>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Y20" i="28"/>
  <c r="Y19"/>
  <c r="Y18"/>
  <c r="Y17"/>
  <c r="Y16"/>
  <c r="Y15"/>
  <c r="Y14"/>
  <c r="Y13"/>
  <c r="Y12"/>
  <c r="Y11"/>
  <c r="Y10"/>
  <c r="Y9"/>
  <c r="Y8"/>
  <c r="Y7"/>
  <c r="Y6"/>
  <c r="Y5"/>
  <c r="Y4"/>
  <c r="X3"/>
  <c r="X7" s="1"/>
  <c r="W3"/>
  <c r="W4" s="1"/>
  <c r="V3"/>
  <c r="V7" s="1"/>
  <c r="U3"/>
  <c r="U4" s="1"/>
  <c r="T3"/>
  <c r="T7" s="1"/>
  <c r="S3"/>
  <c r="S4" s="1"/>
  <c r="R3"/>
  <c r="R7" s="1"/>
  <c r="Q3"/>
  <c r="Q4" s="1"/>
  <c r="P3"/>
  <c r="P7" s="1"/>
  <c r="O3"/>
  <c r="O4" s="1"/>
  <c r="N3"/>
  <c r="N7" s="1"/>
  <c r="M3"/>
  <c r="M4" s="1"/>
  <c r="L3"/>
  <c r="L7" s="1"/>
  <c r="K3"/>
  <c r="K4" s="1"/>
  <c r="J3"/>
  <c r="J8" s="1"/>
  <c r="I3"/>
  <c r="I5" s="1"/>
  <c r="H3"/>
  <c r="H8" s="1"/>
  <c r="G3"/>
  <c r="G4" s="1"/>
  <c r="F3"/>
  <c r="F8" s="1"/>
  <c r="E3"/>
  <c r="E5" s="1"/>
  <c r="D3"/>
  <c r="D8" s="1"/>
  <c r="Y20" i="16"/>
  <c r="Y19"/>
  <c r="Y18"/>
  <c r="Y17"/>
  <c r="Y16"/>
  <c r="Y15"/>
  <c r="Y14"/>
  <c r="Y13"/>
  <c r="Y12"/>
  <c r="Y11"/>
  <c r="Y10"/>
  <c r="Y9"/>
  <c r="Y8"/>
  <c r="Y7"/>
  <c r="Y6"/>
  <c r="Y5"/>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Y20" i="40"/>
  <c r="Y19"/>
  <c r="Y18"/>
  <c r="Y17"/>
  <c r="Y16"/>
  <c r="Y15"/>
  <c r="Y14"/>
  <c r="Y13"/>
  <c r="Y12"/>
  <c r="Y11"/>
  <c r="Y10"/>
  <c r="Y9"/>
  <c r="Y8"/>
  <c r="Y7"/>
  <c r="Y6"/>
  <c r="Y5"/>
  <c r="Y4"/>
  <c r="X3"/>
  <c r="X20" s="1"/>
  <c r="W3"/>
  <c r="W20" s="1"/>
  <c r="V3"/>
  <c r="V20" s="1"/>
  <c r="U3"/>
  <c r="U20" s="1"/>
  <c r="T3"/>
  <c r="T20" s="1"/>
  <c r="S3"/>
  <c r="S20" s="1"/>
  <c r="R3"/>
  <c r="R20" s="1"/>
  <c r="Q3"/>
  <c r="Q20" s="1"/>
  <c r="P3"/>
  <c r="P20" s="1"/>
  <c r="O3"/>
  <c r="O20" s="1"/>
  <c r="N3"/>
  <c r="N20" s="1"/>
  <c r="M3"/>
  <c r="M20" s="1"/>
  <c r="L3"/>
  <c r="L20" s="1"/>
  <c r="K3"/>
  <c r="K20" s="1"/>
  <c r="J3"/>
  <c r="J20" s="1"/>
  <c r="I3"/>
  <c r="I20" s="1"/>
  <c r="H3"/>
  <c r="H20" s="1"/>
  <c r="G3"/>
  <c r="G20" s="1"/>
  <c r="F3"/>
  <c r="F20" s="1"/>
  <c r="E3"/>
  <c r="E20" s="1"/>
  <c r="D3"/>
  <c r="D20" s="1"/>
  <c r="Y20" i="30"/>
  <c r="Y19"/>
  <c r="Y18"/>
  <c r="Y17"/>
  <c r="Y16"/>
  <c r="Y15"/>
  <c r="Y14"/>
  <c r="Y13"/>
  <c r="Y12"/>
  <c r="Y11"/>
  <c r="Y10"/>
  <c r="Y9"/>
  <c r="Y8"/>
  <c r="Y7"/>
  <c r="Y6"/>
  <c r="Y5"/>
  <c r="Y4"/>
  <c r="X3"/>
  <c r="X7" s="1"/>
  <c r="W3"/>
  <c r="V3"/>
  <c r="V7" s="1"/>
  <c r="U3"/>
  <c r="T3"/>
  <c r="T7" s="1"/>
  <c r="S3"/>
  <c r="R3"/>
  <c r="R7" s="1"/>
  <c r="Q3"/>
  <c r="P3"/>
  <c r="P7" s="1"/>
  <c r="O3"/>
  <c r="N3"/>
  <c r="N7" s="1"/>
  <c r="M3"/>
  <c r="L3"/>
  <c r="L8" s="1"/>
  <c r="K3"/>
  <c r="J3"/>
  <c r="J7" s="1"/>
  <c r="I3"/>
  <c r="H3"/>
  <c r="H8" s="1"/>
  <c r="G3"/>
  <c r="F3"/>
  <c r="F7" s="1"/>
  <c r="E3"/>
  <c r="D3"/>
  <c r="D8" s="1"/>
  <c r="Y4" i="21"/>
  <c r="Y5"/>
  <c r="Y6"/>
  <c r="Y7"/>
  <c r="Y8"/>
  <c r="Y9"/>
  <c r="Y10"/>
  <c r="Y11"/>
  <c r="Y12"/>
  <c r="Y13"/>
  <c r="Y14"/>
  <c r="Y15"/>
  <c r="Y16"/>
  <c r="Y17"/>
  <c r="Y18"/>
  <c r="Y19"/>
  <c r="Y20"/>
  <c r="S4" i="14" l="1"/>
  <c r="G4"/>
  <c r="O4"/>
  <c r="W4"/>
  <c r="E5"/>
  <c r="G4" i="37"/>
  <c r="O4"/>
  <c r="E5"/>
  <c r="M5"/>
  <c r="K4" i="14"/>
  <c r="K4" i="37"/>
  <c r="S4"/>
  <c r="I5"/>
  <c r="Q5"/>
  <c r="F4" i="30"/>
  <c r="J4"/>
  <c r="N4"/>
  <c r="R4"/>
  <c r="V4"/>
  <c r="F5"/>
  <c r="J5"/>
  <c r="N5"/>
  <c r="E4" i="40"/>
  <c r="I4"/>
  <c r="M4"/>
  <c r="Q4"/>
  <c r="U4"/>
  <c r="D4" i="16"/>
  <c r="H4"/>
  <c r="E4" i="28"/>
  <c r="I4"/>
  <c r="G5"/>
  <c r="F4" i="25"/>
  <c r="J4"/>
  <c r="G4" i="12"/>
  <c r="K4"/>
  <c r="O4"/>
  <c r="S4"/>
  <c r="W4"/>
  <c r="D4" i="30"/>
  <c r="H4"/>
  <c r="L4"/>
  <c r="P4"/>
  <c r="T4"/>
  <c r="X4"/>
  <c r="D5"/>
  <c r="H5"/>
  <c r="L5"/>
  <c r="G4" i="40"/>
  <c r="K4"/>
  <c r="O4"/>
  <c r="S4"/>
  <c r="W4"/>
  <c r="F4" i="16"/>
  <c r="J4"/>
  <c r="E4" i="14"/>
  <c r="I4"/>
  <c r="M4"/>
  <c r="Q4"/>
  <c r="U4"/>
  <c r="G5"/>
  <c r="D4" i="25"/>
  <c r="H4"/>
  <c r="E4" i="12"/>
  <c r="I4"/>
  <c r="M4"/>
  <c r="Q4"/>
  <c r="U4"/>
  <c r="G20" i="30"/>
  <c r="G19"/>
  <c r="G18"/>
  <c r="G17"/>
  <c r="G16"/>
  <c r="G15"/>
  <c r="G14"/>
  <c r="G13"/>
  <c r="G12"/>
  <c r="G11"/>
  <c r="G10"/>
  <c r="G9"/>
  <c r="G8"/>
  <c r="K20"/>
  <c r="K19"/>
  <c r="K18"/>
  <c r="K17"/>
  <c r="K16"/>
  <c r="K15"/>
  <c r="K14"/>
  <c r="K13"/>
  <c r="K12"/>
  <c r="K11"/>
  <c r="K10"/>
  <c r="K9"/>
  <c r="K8"/>
  <c r="O20"/>
  <c r="O19"/>
  <c r="O18"/>
  <c r="O17"/>
  <c r="O16"/>
  <c r="O15"/>
  <c r="O14"/>
  <c r="O13"/>
  <c r="O12"/>
  <c r="O11"/>
  <c r="O10"/>
  <c r="O9"/>
  <c r="O8"/>
  <c r="S20"/>
  <c r="S19"/>
  <c r="S18"/>
  <c r="S17"/>
  <c r="S16"/>
  <c r="S15"/>
  <c r="S14"/>
  <c r="S13"/>
  <c r="S12"/>
  <c r="S11"/>
  <c r="S10"/>
  <c r="S9"/>
  <c r="S8"/>
  <c r="W20"/>
  <c r="W19"/>
  <c r="W18"/>
  <c r="W17"/>
  <c r="W16"/>
  <c r="W15"/>
  <c r="W14"/>
  <c r="W13"/>
  <c r="W12"/>
  <c r="W11"/>
  <c r="W10"/>
  <c r="W9"/>
  <c r="W8"/>
  <c r="P5"/>
  <c r="R5"/>
  <c r="T5"/>
  <c r="V5"/>
  <c r="X5"/>
  <c r="D6"/>
  <c r="F6"/>
  <c r="H6"/>
  <c r="J6"/>
  <c r="L6"/>
  <c r="N6"/>
  <c r="P6"/>
  <c r="R6"/>
  <c r="T6"/>
  <c r="V6"/>
  <c r="X6"/>
  <c r="D7"/>
  <c r="H7"/>
  <c r="L7"/>
  <c r="E20"/>
  <c r="E19"/>
  <c r="E18"/>
  <c r="E17"/>
  <c r="E16"/>
  <c r="E15"/>
  <c r="E14"/>
  <c r="E13"/>
  <c r="E12"/>
  <c r="E11"/>
  <c r="E10"/>
  <c r="E9"/>
  <c r="E8"/>
  <c r="I20"/>
  <c r="I19"/>
  <c r="I18"/>
  <c r="I17"/>
  <c r="I16"/>
  <c r="I15"/>
  <c r="I14"/>
  <c r="I13"/>
  <c r="I12"/>
  <c r="I11"/>
  <c r="I10"/>
  <c r="I9"/>
  <c r="I8"/>
  <c r="M20"/>
  <c r="M19"/>
  <c r="M18"/>
  <c r="M17"/>
  <c r="M16"/>
  <c r="M15"/>
  <c r="M14"/>
  <c r="M13"/>
  <c r="M12"/>
  <c r="M11"/>
  <c r="M10"/>
  <c r="M9"/>
  <c r="M8"/>
  <c r="Q20"/>
  <c r="Q19"/>
  <c r="Q18"/>
  <c r="Q17"/>
  <c r="Q16"/>
  <c r="Q15"/>
  <c r="Q14"/>
  <c r="Q13"/>
  <c r="Q12"/>
  <c r="Q11"/>
  <c r="Q10"/>
  <c r="Q9"/>
  <c r="Q8"/>
  <c r="U20"/>
  <c r="U19"/>
  <c r="U18"/>
  <c r="U17"/>
  <c r="U16"/>
  <c r="U15"/>
  <c r="U14"/>
  <c r="U13"/>
  <c r="U12"/>
  <c r="U11"/>
  <c r="U10"/>
  <c r="U9"/>
  <c r="U8"/>
  <c r="D20"/>
  <c r="D19"/>
  <c r="D18"/>
  <c r="D17"/>
  <c r="D16"/>
  <c r="D15"/>
  <c r="D14"/>
  <c r="D13"/>
  <c r="D12"/>
  <c r="D11"/>
  <c r="D10"/>
  <c r="D9"/>
  <c r="F20"/>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4"/>
  <c r="G4"/>
  <c r="I4"/>
  <c r="K4"/>
  <c r="M4"/>
  <c r="O4"/>
  <c r="Q4"/>
  <c r="S4"/>
  <c r="U4"/>
  <c r="W4"/>
  <c r="E5"/>
  <c r="G5"/>
  <c r="I5"/>
  <c r="K5"/>
  <c r="M5"/>
  <c r="O5"/>
  <c r="Q5"/>
  <c r="S5"/>
  <c r="U5"/>
  <c r="W5"/>
  <c r="E6"/>
  <c r="G6"/>
  <c r="I6"/>
  <c r="K6"/>
  <c r="M6"/>
  <c r="O6"/>
  <c r="Q6"/>
  <c r="S6"/>
  <c r="U6"/>
  <c r="W6"/>
  <c r="E7"/>
  <c r="G7"/>
  <c r="I7"/>
  <c r="K7"/>
  <c r="M7"/>
  <c r="O7"/>
  <c r="Q7"/>
  <c r="S7"/>
  <c r="U7"/>
  <c r="W7"/>
  <c r="F8"/>
  <c r="J8"/>
  <c r="E20" i="28"/>
  <c r="E19"/>
  <c r="E18"/>
  <c r="E17"/>
  <c r="E16"/>
  <c r="E15"/>
  <c r="E14"/>
  <c r="E13"/>
  <c r="E12"/>
  <c r="E11"/>
  <c r="E10"/>
  <c r="E9"/>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M8"/>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D4" i="40"/>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E4" i="16"/>
  <c r="G4"/>
  <c r="I4"/>
  <c r="K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i="28"/>
  <c r="F4"/>
  <c r="H4"/>
  <c r="J4"/>
  <c r="L4"/>
  <c r="N4"/>
  <c r="P4"/>
  <c r="R4"/>
  <c r="T4"/>
  <c r="V4"/>
  <c r="X4"/>
  <c r="D5"/>
  <c r="F5"/>
  <c r="H5"/>
  <c r="J5"/>
  <c r="L5"/>
  <c r="N5"/>
  <c r="P5"/>
  <c r="R5"/>
  <c r="T5"/>
  <c r="V5"/>
  <c r="X5"/>
  <c r="D6"/>
  <c r="F6"/>
  <c r="H6"/>
  <c r="J6"/>
  <c r="L6"/>
  <c r="N6"/>
  <c r="P6"/>
  <c r="R6"/>
  <c r="T6"/>
  <c r="V6"/>
  <c r="X6"/>
  <c r="D7"/>
  <c r="F7"/>
  <c r="H7"/>
  <c r="J7"/>
  <c r="D20"/>
  <c r="D19"/>
  <c r="D18"/>
  <c r="D17"/>
  <c r="D16"/>
  <c r="D15"/>
  <c r="D14"/>
  <c r="D13"/>
  <c r="D12"/>
  <c r="D11"/>
  <c r="D10"/>
  <c r="D9"/>
  <c r="F20"/>
  <c r="F19"/>
  <c r="F18"/>
  <c r="F17"/>
  <c r="F16"/>
  <c r="F15"/>
  <c r="F14"/>
  <c r="F13"/>
  <c r="F12"/>
  <c r="F11"/>
  <c r="F10"/>
  <c r="F9"/>
  <c r="H20"/>
  <c r="H19"/>
  <c r="H18"/>
  <c r="H17"/>
  <c r="H16"/>
  <c r="H15"/>
  <c r="H14"/>
  <c r="H13"/>
  <c r="H12"/>
  <c r="H11"/>
  <c r="H10"/>
  <c r="H9"/>
  <c r="J20"/>
  <c r="J19"/>
  <c r="J18"/>
  <c r="J17"/>
  <c r="J16"/>
  <c r="J15"/>
  <c r="J14"/>
  <c r="J13"/>
  <c r="J12"/>
  <c r="J11"/>
  <c r="J10"/>
  <c r="J9"/>
  <c r="L20"/>
  <c r="L19"/>
  <c r="L18"/>
  <c r="L17"/>
  <c r="L16"/>
  <c r="L15"/>
  <c r="L14"/>
  <c r="L13"/>
  <c r="L12"/>
  <c r="L11"/>
  <c r="L10"/>
  <c r="L9"/>
  <c r="L8"/>
  <c r="N20"/>
  <c r="N19"/>
  <c r="N18"/>
  <c r="N17"/>
  <c r="N16"/>
  <c r="N15"/>
  <c r="N14"/>
  <c r="N13"/>
  <c r="N12"/>
  <c r="N11"/>
  <c r="N10"/>
  <c r="N9"/>
  <c r="N8"/>
  <c r="P20"/>
  <c r="P19"/>
  <c r="P18"/>
  <c r="P17"/>
  <c r="P16"/>
  <c r="P15"/>
  <c r="P14"/>
  <c r="P13"/>
  <c r="P12"/>
  <c r="P11"/>
  <c r="P10"/>
  <c r="P9"/>
  <c r="P8"/>
  <c r="R20"/>
  <c r="R19"/>
  <c r="R18"/>
  <c r="R17"/>
  <c r="R16"/>
  <c r="R15"/>
  <c r="R14"/>
  <c r="R13"/>
  <c r="R12"/>
  <c r="R11"/>
  <c r="R10"/>
  <c r="R9"/>
  <c r="R8"/>
  <c r="T20"/>
  <c r="T19"/>
  <c r="T18"/>
  <c r="T17"/>
  <c r="T16"/>
  <c r="T15"/>
  <c r="T14"/>
  <c r="T13"/>
  <c r="T12"/>
  <c r="T11"/>
  <c r="T10"/>
  <c r="T9"/>
  <c r="T8"/>
  <c r="V20"/>
  <c r="V19"/>
  <c r="V18"/>
  <c r="V17"/>
  <c r="V16"/>
  <c r="V15"/>
  <c r="V14"/>
  <c r="V13"/>
  <c r="V12"/>
  <c r="V11"/>
  <c r="V10"/>
  <c r="V9"/>
  <c r="V8"/>
  <c r="X20"/>
  <c r="X19"/>
  <c r="X18"/>
  <c r="X17"/>
  <c r="X16"/>
  <c r="X15"/>
  <c r="X14"/>
  <c r="X13"/>
  <c r="X12"/>
  <c r="X11"/>
  <c r="X10"/>
  <c r="X9"/>
  <c r="X8"/>
  <c r="E5" i="40"/>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L4" i="16"/>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K5" i="28"/>
  <c r="M5"/>
  <c r="O5"/>
  <c r="Q5"/>
  <c r="S5"/>
  <c r="U5"/>
  <c r="W5"/>
  <c r="E6"/>
  <c r="G6"/>
  <c r="I6"/>
  <c r="K6"/>
  <c r="M6"/>
  <c r="O6"/>
  <c r="Q6"/>
  <c r="S6"/>
  <c r="U6"/>
  <c r="W6"/>
  <c r="E7"/>
  <c r="G7"/>
  <c r="I7"/>
  <c r="K7"/>
  <c r="M7"/>
  <c r="O7"/>
  <c r="Q7"/>
  <c r="S7"/>
  <c r="U7"/>
  <c r="W7"/>
  <c r="E8"/>
  <c r="G8"/>
  <c r="I8"/>
  <c r="K8"/>
  <c r="E20" i="37"/>
  <c r="E19"/>
  <c r="E18"/>
  <c r="E17"/>
  <c r="E16"/>
  <c r="E15"/>
  <c r="E14"/>
  <c r="E13"/>
  <c r="E12"/>
  <c r="E11"/>
  <c r="E10"/>
  <c r="E9"/>
  <c r="E8"/>
  <c r="E7"/>
  <c r="G20"/>
  <c r="G19"/>
  <c r="G18"/>
  <c r="G17"/>
  <c r="G16"/>
  <c r="G15"/>
  <c r="G14"/>
  <c r="G13"/>
  <c r="G12"/>
  <c r="G11"/>
  <c r="G10"/>
  <c r="G9"/>
  <c r="G8"/>
  <c r="G7"/>
  <c r="I20"/>
  <c r="I19"/>
  <c r="I18"/>
  <c r="I17"/>
  <c r="I16"/>
  <c r="I15"/>
  <c r="I14"/>
  <c r="I13"/>
  <c r="I12"/>
  <c r="I11"/>
  <c r="I10"/>
  <c r="I9"/>
  <c r="I8"/>
  <c r="I7"/>
  <c r="K20"/>
  <c r="K19"/>
  <c r="K18"/>
  <c r="K17"/>
  <c r="K16"/>
  <c r="K15"/>
  <c r="K14"/>
  <c r="K13"/>
  <c r="K12"/>
  <c r="K11"/>
  <c r="K10"/>
  <c r="K9"/>
  <c r="K8"/>
  <c r="K7"/>
  <c r="M20"/>
  <c r="M19"/>
  <c r="M18"/>
  <c r="M17"/>
  <c r="M16"/>
  <c r="M15"/>
  <c r="M14"/>
  <c r="M13"/>
  <c r="M12"/>
  <c r="M11"/>
  <c r="M10"/>
  <c r="M9"/>
  <c r="M8"/>
  <c r="M7"/>
  <c r="O20"/>
  <c r="O19"/>
  <c r="O18"/>
  <c r="O17"/>
  <c r="O16"/>
  <c r="O15"/>
  <c r="O14"/>
  <c r="O13"/>
  <c r="O12"/>
  <c r="O11"/>
  <c r="O10"/>
  <c r="O9"/>
  <c r="O8"/>
  <c r="O7"/>
  <c r="Q20"/>
  <c r="Q19"/>
  <c r="Q18"/>
  <c r="Q17"/>
  <c r="Q16"/>
  <c r="Q15"/>
  <c r="Q14"/>
  <c r="Q13"/>
  <c r="Q12"/>
  <c r="Q11"/>
  <c r="Q10"/>
  <c r="Q9"/>
  <c r="Q8"/>
  <c r="Q7"/>
  <c r="S20"/>
  <c r="S19"/>
  <c r="S18"/>
  <c r="S17"/>
  <c r="S16"/>
  <c r="S15"/>
  <c r="S14"/>
  <c r="S13"/>
  <c r="S12"/>
  <c r="S11"/>
  <c r="S10"/>
  <c r="S9"/>
  <c r="S8"/>
  <c r="S7"/>
  <c r="S6"/>
  <c r="U20"/>
  <c r="U19"/>
  <c r="U18"/>
  <c r="U17"/>
  <c r="U16"/>
  <c r="U15"/>
  <c r="U14"/>
  <c r="U13"/>
  <c r="U12"/>
  <c r="U11"/>
  <c r="U10"/>
  <c r="U9"/>
  <c r="U8"/>
  <c r="U7"/>
  <c r="U6"/>
  <c r="W20"/>
  <c r="W19"/>
  <c r="W18"/>
  <c r="W17"/>
  <c r="W16"/>
  <c r="W15"/>
  <c r="W14"/>
  <c r="W13"/>
  <c r="W12"/>
  <c r="W11"/>
  <c r="W10"/>
  <c r="W9"/>
  <c r="W8"/>
  <c r="W7"/>
  <c r="W6"/>
  <c r="D4" i="1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E4" i="25"/>
  <c r="G4"/>
  <c r="I4"/>
  <c r="K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i="37"/>
  <c r="F4"/>
  <c r="H4"/>
  <c r="J4"/>
  <c r="L4"/>
  <c r="N4"/>
  <c r="P4"/>
  <c r="R4"/>
  <c r="T4"/>
  <c r="V4"/>
  <c r="X4"/>
  <c r="D5"/>
  <c r="F5"/>
  <c r="H5"/>
  <c r="J5"/>
  <c r="L5"/>
  <c r="N5"/>
  <c r="P5"/>
  <c r="D20"/>
  <c r="D19"/>
  <c r="D18"/>
  <c r="D17"/>
  <c r="D16"/>
  <c r="D15"/>
  <c r="D14"/>
  <c r="D13"/>
  <c r="D12"/>
  <c r="D11"/>
  <c r="D10"/>
  <c r="D9"/>
  <c r="D8"/>
  <c r="D7"/>
  <c r="F20"/>
  <c r="F19"/>
  <c r="F18"/>
  <c r="F17"/>
  <c r="F16"/>
  <c r="F15"/>
  <c r="F14"/>
  <c r="F13"/>
  <c r="F12"/>
  <c r="F11"/>
  <c r="F10"/>
  <c r="F9"/>
  <c r="F8"/>
  <c r="F7"/>
  <c r="H20"/>
  <c r="H19"/>
  <c r="H18"/>
  <c r="H17"/>
  <c r="H16"/>
  <c r="H15"/>
  <c r="H14"/>
  <c r="H13"/>
  <c r="H12"/>
  <c r="H11"/>
  <c r="H10"/>
  <c r="H9"/>
  <c r="H8"/>
  <c r="H7"/>
  <c r="J20"/>
  <c r="J19"/>
  <c r="J18"/>
  <c r="J17"/>
  <c r="J16"/>
  <c r="J15"/>
  <c r="J14"/>
  <c r="J13"/>
  <c r="J12"/>
  <c r="J11"/>
  <c r="J10"/>
  <c r="J9"/>
  <c r="J8"/>
  <c r="J7"/>
  <c r="L20"/>
  <c r="L19"/>
  <c r="L18"/>
  <c r="L17"/>
  <c r="L16"/>
  <c r="L15"/>
  <c r="L14"/>
  <c r="L13"/>
  <c r="L12"/>
  <c r="L11"/>
  <c r="L10"/>
  <c r="L9"/>
  <c r="L8"/>
  <c r="L7"/>
  <c r="N20"/>
  <c r="N19"/>
  <c r="N18"/>
  <c r="N17"/>
  <c r="N16"/>
  <c r="N15"/>
  <c r="N14"/>
  <c r="N13"/>
  <c r="N12"/>
  <c r="N11"/>
  <c r="N10"/>
  <c r="N9"/>
  <c r="N8"/>
  <c r="N7"/>
  <c r="P20"/>
  <c r="P19"/>
  <c r="P18"/>
  <c r="P17"/>
  <c r="P16"/>
  <c r="P15"/>
  <c r="P14"/>
  <c r="P13"/>
  <c r="P12"/>
  <c r="P11"/>
  <c r="P10"/>
  <c r="P9"/>
  <c r="P8"/>
  <c r="P7"/>
  <c r="R20"/>
  <c r="R19"/>
  <c r="R18"/>
  <c r="R17"/>
  <c r="R16"/>
  <c r="R15"/>
  <c r="R14"/>
  <c r="R13"/>
  <c r="R12"/>
  <c r="R11"/>
  <c r="R10"/>
  <c r="R9"/>
  <c r="R8"/>
  <c r="R7"/>
  <c r="R6"/>
  <c r="T20"/>
  <c r="T19"/>
  <c r="T18"/>
  <c r="T17"/>
  <c r="T16"/>
  <c r="T15"/>
  <c r="T14"/>
  <c r="T13"/>
  <c r="T12"/>
  <c r="T11"/>
  <c r="T10"/>
  <c r="T9"/>
  <c r="T8"/>
  <c r="T7"/>
  <c r="T6"/>
  <c r="V20"/>
  <c r="V19"/>
  <c r="V18"/>
  <c r="V17"/>
  <c r="V16"/>
  <c r="V15"/>
  <c r="V14"/>
  <c r="V13"/>
  <c r="V12"/>
  <c r="V11"/>
  <c r="V10"/>
  <c r="V9"/>
  <c r="V8"/>
  <c r="V7"/>
  <c r="V6"/>
  <c r="X20"/>
  <c r="X19"/>
  <c r="X18"/>
  <c r="X17"/>
  <c r="X16"/>
  <c r="X15"/>
  <c r="X14"/>
  <c r="X13"/>
  <c r="X12"/>
  <c r="X11"/>
  <c r="X10"/>
  <c r="X9"/>
  <c r="X8"/>
  <c r="X7"/>
  <c r="X6"/>
  <c r="I5" i="14"/>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L4" i="25"/>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U5" i="37"/>
  <c r="W5"/>
  <c r="E6"/>
  <c r="G6"/>
  <c r="I6"/>
  <c r="K6"/>
  <c r="M6"/>
  <c r="O6"/>
  <c r="Q6"/>
  <c r="E20" i="35"/>
  <c r="E19"/>
  <c r="E18"/>
  <c r="E17"/>
  <c r="E16"/>
  <c r="E15"/>
  <c r="G20"/>
  <c r="G19"/>
  <c r="G18"/>
  <c r="G17"/>
  <c r="G16"/>
  <c r="G15"/>
  <c r="G14"/>
  <c r="I20"/>
  <c r="I19"/>
  <c r="I18"/>
  <c r="I17"/>
  <c r="I16"/>
  <c r="I15"/>
  <c r="I14"/>
  <c r="K20"/>
  <c r="K19"/>
  <c r="K18"/>
  <c r="K17"/>
  <c r="K16"/>
  <c r="K15"/>
  <c r="K14"/>
  <c r="M20"/>
  <c r="M19"/>
  <c r="M18"/>
  <c r="M17"/>
  <c r="M16"/>
  <c r="M15"/>
  <c r="M14"/>
  <c r="O20"/>
  <c r="O19"/>
  <c r="O18"/>
  <c r="O17"/>
  <c r="O16"/>
  <c r="O15"/>
  <c r="O14"/>
  <c r="Q20"/>
  <c r="Q19"/>
  <c r="Q18"/>
  <c r="Q17"/>
  <c r="Q16"/>
  <c r="Q15"/>
  <c r="Q14"/>
  <c r="S20"/>
  <c r="S19"/>
  <c r="S18"/>
  <c r="S17"/>
  <c r="S16"/>
  <c r="S15"/>
  <c r="S14"/>
  <c r="U20"/>
  <c r="U19"/>
  <c r="U18"/>
  <c r="U17"/>
  <c r="U16"/>
  <c r="U15"/>
  <c r="U14"/>
  <c r="W20"/>
  <c r="W19"/>
  <c r="W18"/>
  <c r="W17"/>
  <c r="W16"/>
  <c r="W15"/>
  <c r="W14"/>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J13"/>
  <c r="D20"/>
  <c r="D19"/>
  <c r="D18"/>
  <c r="D17"/>
  <c r="D16"/>
  <c r="D15"/>
  <c r="F20"/>
  <c r="F19"/>
  <c r="F18"/>
  <c r="F17"/>
  <c r="F16"/>
  <c r="F15"/>
  <c r="H20"/>
  <c r="H19"/>
  <c r="H18"/>
  <c r="H17"/>
  <c r="H16"/>
  <c r="H15"/>
  <c r="J20"/>
  <c r="J19"/>
  <c r="J18"/>
  <c r="J17"/>
  <c r="J16"/>
  <c r="J15"/>
  <c r="L20"/>
  <c r="L19"/>
  <c r="L18"/>
  <c r="L17"/>
  <c r="L16"/>
  <c r="L15"/>
  <c r="N20"/>
  <c r="N19"/>
  <c r="N18"/>
  <c r="N17"/>
  <c r="N16"/>
  <c r="N15"/>
  <c r="N14"/>
  <c r="P20"/>
  <c r="P19"/>
  <c r="P18"/>
  <c r="P17"/>
  <c r="P16"/>
  <c r="P15"/>
  <c r="P14"/>
  <c r="R20"/>
  <c r="R19"/>
  <c r="R18"/>
  <c r="R17"/>
  <c r="R16"/>
  <c r="R15"/>
  <c r="R14"/>
  <c r="T20"/>
  <c r="T19"/>
  <c r="T18"/>
  <c r="T17"/>
  <c r="T16"/>
  <c r="T15"/>
  <c r="T14"/>
  <c r="V20"/>
  <c r="V19"/>
  <c r="V18"/>
  <c r="V17"/>
  <c r="V16"/>
  <c r="V15"/>
  <c r="V14"/>
  <c r="X20"/>
  <c r="X19"/>
  <c r="X18"/>
  <c r="X17"/>
  <c r="X16"/>
  <c r="X15"/>
  <c r="X14"/>
  <c r="M4"/>
  <c r="O4"/>
  <c r="Q4"/>
  <c r="S4"/>
  <c r="U4"/>
  <c r="W4"/>
  <c r="E5"/>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H14"/>
  <c r="L14"/>
  <c r="E5" i="12"/>
  <c r="G5"/>
  <c r="I5"/>
  <c r="K5"/>
  <c r="M5"/>
  <c r="O5"/>
  <c r="Q5"/>
  <c r="S5"/>
  <c r="U5"/>
  <c r="W5"/>
  <c r="E6"/>
  <c r="G6"/>
  <c r="I6"/>
  <c r="K6"/>
  <c r="M6"/>
  <c r="O6"/>
  <c r="Q6"/>
  <c r="S6"/>
  <c r="U6"/>
  <c r="W6"/>
  <c r="E7"/>
  <c r="G7"/>
  <c r="I7"/>
  <c r="K7"/>
  <c r="M7"/>
  <c r="O7"/>
  <c r="Q7"/>
  <c r="S7"/>
  <c r="U7"/>
  <c r="W7"/>
  <c r="E8"/>
  <c r="G8"/>
  <c r="I8"/>
  <c r="K8"/>
  <c r="M8"/>
  <c r="O8"/>
  <c r="Q8"/>
  <c r="S8"/>
  <c r="U8"/>
  <c r="W8"/>
  <c r="E9"/>
  <c r="G9"/>
  <c r="I9"/>
  <c r="K9"/>
  <c r="M9"/>
  <c r="O9"/>
  <c r="Q9"/>
  <c r="S9"/>
  <c r="U9"/>
  <c r="W9"/>
  <c r="E10"/>
  <c r="G10"/>
  <c r="I10"/>
  <c r="K10"/>
  <c r="M10"/>
  <c r="O10"/>
  <c r="Q10"/>
  <c r="S10"/>
  <c r="U10"/>
  <c r="W10"/>
  <c r="E11"/>
  <c r="G11"/>
  <c r="I11"/>
  <c r="K11"/>
  <c r="M11"/>
  <c r="O11"/>
  <c r="Q11"/>
  <c r="S11"/>
  <c r="U11"/>
  <c r="W11"/>
  <c r="E12"/>
  <c r="G12"/>
  <c r="I12"/>
  <c r="K12"/>
  <c r="M12"/>
  <c r="O12"/>
  <c r="Q12"/>
  <c r="S12"/>
  <c r="U12"/>
  <c r="W12"/>
  <c r="E13"/>
  <c r="G13"/>
  <c r="I13"/>
  <c r="K13"/>
  <c r="M13"/>
  <c r="O13"/>
  <c r="Q13"/>
  <c r="S13"/>
  <c r="U13"/>
  <c r="W13"/>
  <c r="E14"/>
  <c r="G14"/>
  <c r="I14"/>
  <c r="K14"/>
  <c r="M14"/>
  <c r="O14"/>
  <c r="Q14"/>
  <c r="S14"/>
  <c r="U14"/>
  <c r="W14"/>
  <c r="E15"/>
  <c r="G15"/>
  <c r="I15"/>
  <c r="K15"/>
  <c r="M15"/>
  <c r="O15"/>
  <c r="Q15"/>
  <c r="S15"/>
  <c r="U15"/>
  <c r="W15"/>
  <c r="E16"/>
  <c r="G16"/>
  <c r="I16"/>
  <c r="K16"/>
  <c r="M16"/>
  <c r="O16"/>
  <c r="Q16"/>
  <c r="S16"/>
  <c r="U16"/>
  <c r="W16"/>
  <c r="E17"/>
  <c r="G17"/>
  <c r="I17"/>
  <c r="K17"/>
  <c r="M17"/>
  <c r="O17"/>
  <c r="Q17"/>
  <c r="S17"/>
  <c r="U17"/>
  <c r="W17"/>
  <c r="E18"/>
  <c r="G18"/>
  <c r="I18"/>
  <c r="K18"/>
  <c r="M18"/>
  <c r="O18"/>
  <c r="Q18"/>
  <c r="S18"/>
  <c r="U18"/>
  <c r="W18"/>
  <c r="E19"/>
  <c r="G19"/>
  <c r="I19"/>
  <c r="K19"/>
  <c r="M19"/>
  <c r="O19"/>
  <c r="Q19"/>
  <c r="S19"/>
  <c r="U19"/>
  <c r="W19"/>
  <c r="D4"/>
  <c r="F4"/>
  <c r="H4"/>
  <c r="J4"/>
  <c r="L4"/>
  <c r="N4"/>
  <c r="P4"/>
  <c r="R4"/>
  <c r="T4"/>
  <c r="V4"/>
  <c r="X4"/>
  <c r="D5"/>
  <c r="F5"/>
  <c r="H5"/>
  <c r="J5"/>
  <c r="L5"/>
  <c r="N5"/>
  <c r="P5"/>
  <c r="R5"/>
  <c r="T5"/>
  <c r="V5"/>
  <c r="X5"/>
  <c r="D6"/>
  <c r="F6"/>
  <c r="H6"/>
  <c r="J6"/>
  <c r="L6"/>
  <c r="N6"/>
  <c r="P6"/>
  <c r="R6"/>
  <c r="T6"/>
  <c r="V6"/>
  <c r="X6"/>
  <c r="D7"/>
  <c r="F7"/>
  <c r="H7"/>
  <c r="J7"/>
  <c r="L7"/>
  <c r="N7"/>
  <c r="P7"/>
  <c r="R7"/>
  <c r="T7"/>
  <c r="V7"/>
  <c r="X7"/>
  <c r="D8"/>
  <c r="F8"/>
  <c r="H8"/>
  <c r="J8"/>
  <c r="L8"/>
  <c r="N8"/>
  <c r="P8"/>
  <c r="R8"/>
  <c r="T8"/>
  <c r="V8"/>
  <c r="X8"/>
  <c r="D9"/>
  <c r="F9"/>
  <c r="H9"/>
  <c r="J9"/>
  <c r="L9"/>
  <c r="N9"/>
  <c r="P9"/>
  <c r="R9"/>
  <c r="T9"/>
  <c r="V9"/>
  <c r="X9"/>
  <c r="D10"/>
  <c r="F10"/>
  <c r="H10"/>
  <c r="J10"/>
  <c r="L10"/>
  <c r="N10"/>
  <c r="P10"/>
  <c r="R10"/>
  <c r="T10"/>
  <c r="V10"/>
  <c r="X10"/>
  <c r="D11"/>
  <c r="F11"/>
  <c r="H11"/>
  <c r="J11"/>
  <c r="L11"/>
  <c r="N11"/>
  <c r="P11"/>
  <c r="R11"/>
  <c r="T11"/>
  <c r="V11"/>
  <c r="X11"/>
  <c r="D12"/>
  <c r="F12"/>
  <c r="H12"/>
  <c r="J12"/>
  <c r="L12"/>
  <c r="N12"/>
  <c r="P12"/>
  <c r="R12"/>
  <c r="T12"/>
  <c r="V12"/>
  <c r="X12"/>
  <c r="D13"/>
  <c r="F13"/>
  <c r="H13"/>
  <c r="J13"/>
  <c r="L13"/>
  <c r="N13"/>
  <c r="P13"/>
  <c r="R13"/>
  <c r="T13"/>
  <c r="V13"/>
  <c r="X13"/>
  <c r="D14"/>
  <c r="F14"/>
  <c r="H14"/>
  <c r="J14"/>
  <c r="L14"/>
  <c r="N14"/>
  <c r="P14"/>
  <c r="R14"/>
  <c r="T14"/>
  <c r="V14"/>
  <c r="X14"/>
  <c r="D15"/>
  <c r="F15"/>
  <c r="H15"/>
  <c r="J15"/>
  <c r="L15"/>
  <c r="N15"/>
  <c r="P15"/>
  <c r="R15"/>
  <c r="T15"/>
  <c r="V15"/>
  <c r="X15"/>
  <c r="D16"/>
  <c r="F16"/>
  <c r="H16"/>
  <c r="J16"/>
  <c r="L16"/>
  <c r="N16"/>
  <c r="P16"/>
  <c r="R16"/>
  <c r="T16"/>
  <c r="V16"/>
  <c r="X16"/>
  <c r="D17"/>
  <c r="F17"/>
  <c r="H17"/>
  <c r="J17"/>
  <c r="L17"/>
  <c r="N17"/>
  <c r="P17"/>
  <c r="R17"/>
  <c r="T17"/>
  <c r="V17"/>
  <c r="X17"/>
  <c r="D18"/>
  <c r="F18"/>
  <c r="H18"/>
  <c r="J18"/>
  <c r="L18"/>
  <c r="N18"/>
  <c r="P18"/>
  <c r="R18"/>
  <c r="T18"/>
  <c r="V18"/>
  <c r="X18"/>
  <c r="D19"/>
  <c r="F19"/>
  <c r="H19"/>
  <c r="J19"/>
  <c r="L19"/>
  <c r="N19"/>
  <c r="P19"/>
  <c r="R19"/>
  <c r="T19"/>
  <c r="V19"/>
  <c r="X19"/>
  <c r="D36" i="2"/>
  <c r="AD36" l="1"/>
  <c r="D49"/>
  <c r="E22" i="35"/>
  <c r="E22" i="25"/>
  <c r="E22" i="28"/>
  <c r="E22" i="40"/>
  <c r="E3" i="21"/>
  <c r="E4" l="1"/>
  <c r="E6"/>
  <c r="E8"/>
  <c r="E10"/>
  <c r="E12"/>
  <c r="E14"/>
  <c r="E16"/>
  <c r="E18"/>
  <c r="E20"/>
  <c r="E5"/>
  <c r="E7"/>
  <c r="E9"/>
  <c r="E11"/>
  <c r="E13"/>
  <c r="E15"/>
  <c r="E17"/>
  <c r="E19"/>
  <c r="E22" i="30"/>
  <c r="E22" i="16"/>
  <c r="E22" i="14"/>
  <c r="E22" i="37"/>
  <c r="E22" i="12"/>
  <c r="D21" i="2"/>
  <c r="AD21" s="1"/>
  <c r="D3" i="17"/>
  <c r="D4"/>
  <c r="E4"/>
  <c r="F4"/>
  <c r="G4"/>
  <c r="H4"/>
  <c r="I4"/>
  <c r="J4"/>
  <c r="K4"/>
  <c r="L4"/>
  <c r="M4"/>
  <c r="N4"/>
  <c r="O4"/>
  <c r="P4"/>
  <c r="Q4"/>
  <c r="R4"/>
  <c r="S4"/>
  <c r="T4"/>
  <c r="U4"/>
  <c r="V4"/>
  <c r="W4"/>
  <c r="X4"/>
  <c r="Y4"/>
  <c r="Z4"/>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E17"/>
  <c r="F17"/>
  <c r="G17"/>
  <c r="H17"/>
  <c r="I17"/>
  <c r="J17"/>
  <c r="K17"/>
  <c r="L17"/>
  <c r="M17"/>
  <c r="N17"/>
  <c r="O17"/>
  <c r="P17"/>
  <c r="Q17"/>
  <c r="R17"/>
  <c r="S17"/>
  <c r="T17"/>
  <c r="U17"/>
  <c r="V17"/>
  <c r="W17"/>
  <c r="X17"/>
  <c r="Y17"/>
  <c r="Z17"/>
  <c r="AA17"/>
  <c r="D18"/>
  <c r="E18"/>
  <c r="F18"/>
  <c r="G18"/>
  <c r="H18"/>
  <c r="I18"/>
  <c r="J18"/>
  <c r="K18"/>
  <c r="L18"/>
  <c r="M18"/>
  <c r="N18"/>
  <c r="O18"/>
  <c r="P18"/>
  <c r="Q18"/>
  <c r="R18"/>
  <c r="S18"/>
  <c r="T18"/>
  <c r="U18"/>
  <c r="V18"/>
  <c r="W18"/>
  <c r="X18"/>
  <c r="Y18"/>
  <c r="Z18"/>
  <c r="AA18"/>
  <c r="D19"/>
  <c r="E19"/>
  <c r="F19"/>
  <c r="G19"/>
  <c r="H19"/>
  <c r="I19"/>
  <c r="J19"/>
  <c r="K19"/>
  <c r="L19"/>
  <c r="M19"/>
  <c r="N19"/>
  <c r="O19"/>
  <c r="P19"/>
  <c r="Q19"/>
  <c r="R19"/>
  <c r="S19"/>
  <c r="T19"/>
  <c r="U19"/>
  <c r="V19"/>
  <c r="W19"/>
  <c r="X19"/>
  <c r="Y19"/>
  <c r="Z19"/>
  <c r="AA19"/>
  <c r="D20"/>
  <c r="E20"/>
  <c r="F20"/>
  <c r="G20"/>
  <c r="H20"/>
  <c r="I20"/>
  <c r="J20"/>
  <c r="K20"/>
  <c r="L20"/>
  <c r="M20"/>
  <c r="N20"/>
  <c r="O20"/>
  <c r="P20"/>
  <c r="Q20"/>
  <c r="R20"/>
  <c r="S20"/>
  <c r="T20"/>
  <c r="U20"/>
  <c r="V20"/>
  <c r="W20"/>
  <c r="X20"/>
  <c r="Y20"/>
  <c r="Z20"/>
  <c r="AA20"/>
  <c r="D22"/>
  <c r="E22"/>
  <c r="F22"/>
  <c r="G22"/>
  <c r="H22"/>
  <c r="I22"/>
  <c r="J22"/>
  <c r="K22"/>
  <c r="L22"/>
  <c r="M22"/>
  <c r="N22"/>
  <c r="O22"/>
  <c r="P22"/>
  <c r="Q22"/>
  <c r="R22"/>
  <c r="S22"/>
  <c r="T22"/>
  <c r="U22"/>
  <c r="V22"/>
  <c r="W22"/>
  <c r="X22"/>
  <c r="Y22"/>
  <c r="Z22"/>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4"/>
  <c r="D4"/>
  <c r="E4"/>
  <c r="F4"/>
  <c r="G4"/>
  <c r="H4"/>
  <c r="I4"/>
  <c r="J4"/>
  <c r="K4"/>
  <c r="L4"/>
  <c r="M4"/>
  <c r="N4"/>
  <c r="O4"/>
  <c r="P4"/>
  <c r="Q4"/>
  <c r="R4"/>
  <c r="S4"/>
  <c r="T4"/>
  <c r="U4"/>
  <c r="V4"/>
  <c r="W4"/>
  <c r="X4"/>
  <c r="Y4"/>
  <c r="Z4"/>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E17"/>
  <c r="F17"/>
  <c r="G17"/>
  <c r="H17"/>
  <c r="I17"/>
  <c r="J17"/>
  <c r="K17"/>
  <c r="L17"/>
  <c r="M17"/>
  <c r="N17"/>
  <c r="O17"/>
  <c r="P17"/>
  <c r="Q17"/>
  <c r="R17"/>
  <c r="S17"/>
  <c r="T17"/>
  <c r="U17"/>
  <c r="V17"/>
  <c r="W17"/>
  <c r="X17"/>
  <c r="Y17"/>
  <c r="Z17"/>
  <c r="AA17"/>
  <c r="D18"/>
  <c r="E18"/>
  <c r="F18"/>
  <c r="G18"/>
  <c r="H18"/>
  <c r="I18"/>
  <c r="J18"/>
  <c r="K18"/>
  <c r="L18"/>
  <c r="M18"/>
  <c r="N18"/>
  <c r="O18"/>
  <c r="P18"/>
  <c r="Q18"/>
  <c r="R18"/>
  <c r="S18"/>
  <c r="T18"/>
  <c r="U18"/>
  <c r="V18"/>
  <c r="W18"/>
  <c r="X18"/>
  <c r="Y18"/>
  <c r="Z18"/>
  <c r="AA18"/>
  <c r="D19"/>
  <c r="E19"/>
  <c r="F19"/>
  <c r="G19"/>
  <c r="H19"/>
  <c r="I19"/>
  <c r="J19"/>
  <c r="K19"/>
  <c r="L19"/>
  <c r="M19"/>
  <c r="N19"/>
  <c r="O19"/>
  <c r="P19"/>
  <c r="Q19"/>
  <c r="R19"/>
  <c r="S19"/>
  <c r="T19"/>
  <c r="U19"/>
  <c r="V19"/>
  <c r="W19"/>
  <c r="X19"/>
  <c r="Y19"/>
  <c r="Z19"/>
  <c r="AA19"/>
  <c r="D20"/>
  <c r="E20"/>
  <c r="F20"/>
  <c r="G20"/>
  <c r="H20"/>
  <c r="I20"/>
  <c r="J20"/>
  <c r="K20"/>
  <c r="L20"/>
  <c r="M20"/>
  <c r="N20"/>
  <c r="O20"/>
  <c r="P20"/>
  <c r="Q20"/>
  <c r="R20"/>
  <c r="S20"/>
  <c r="T20"/>
  <c r="U20"/>
  <c r="V20"/>
  <c r="W20"/>
  <c r="X20"/>
  <c r="Y20"/>
  <c r="Z20"/>
  <c r="AA20"/>
  <c r="D22"/>
  <c r="E22"/>
  <c r="F22"/>
  <c r="G22"/>
  <c r="H22"/>
  <c r="I22"/>
  <c r="J22"/>
  <c r="K22"/>
  <c r="L22"/>
  <c r="M22"/>
  <c r="N22"/>
  <c r="O22"/>
  <c r="P22"/>
  <c r="Q22"/>
  <c r="R22"/>
  <c r="S22"/>
  <c r="T22"/>
  <c r="U22"/>
  <c r="V22"/>
  <c r="W22"/>
  <c r="X22"/>
  <c r="Y22"/>
  <c r="Z22"/>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15"/>
  <c r="D4"/>
  <c r="E4"/>
  <c r="F4"/>
  <c r="G4"/>
  <c r="H4"/>
  <c r="I4"/>
  <c r="J4"/>
  <c r="K4"/>
  <c r="L4"/>
  <c r="M4"/>
  <c r="N4"/>
  <c r="O4"/>
  <c r="P4"/>
  <c r="Q4"/>
  <c r="R4"/>
  <c r="S4"/>
  <c r="T4"/>
  <c r="U4"/>
  <c r="V4"/>
  <c r="W4"/>
  <c r="X4"/>
  <c r="Y4"/>
  <c r="Z4"/>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E17"/>
  <c r="F17"/>
  <c r="G17"/>
  <c r="H17"/>
  <c r="I17"/>
  <c r="J17"/>
  <c r="K17"/>
  <c r="L17"/>
  <c r="M17"/>
  <c r="N17"/>
  <c r="O17"/>
  <c r="P17"/>
  <c r="Q17"/>
  <c r="R17"/>
  <c r="S17"/>
  <c r="T17"/>
  <c r="U17"/>
  <c r="V17"/>
  <c r="W17"/>
  <c r="X17"/>
  <c r="Y17"/>
  <c r="Z17"/>
  <c r="AA17"/>
  <c r="D18"/>
  <c r="E18"/>
  <c r="F18"/>
  <c r="G18"/>
  <c r="H18"/>
  <c r="I18"/>
  <c r="J18"/>
  <c r="K18"/>
  <c r="L18"/>
  <c r="M18"/>
  <c r="N18"/>
  <c r="O18"/>
  <c r="P18"/>
  <c r="Q18"/>
  <c r="R18"/>
  <c r="S18"/>
  <c r="T18"/>
  <c r="U18"/>
  <c r="V18"/>
  <c r="W18"/>
  <c r="X18"/>
  <c r="Y18"/>
  <c r="Z18"/>
  <c r="AA18"/>
  <c r="D19"/>
  <c r="E19"/>
  <c r="F19"/>
  <c r="G19"/>
  <c r="H19"/>
  <c r="I19"/>
  <c r="J19"/>
  <c r="K19"/>
  <c r="L19"/>
  <c r="M19"/>
  <c r="N19"/>
  <c r="O19"/>
  <c r="P19"/>
  <c r="Q19"/>
  <c r="R19"/>
  <c r="S19"/>
  <c r="T19"/>
  <c r="U19"/>
  <c r="V19"/>
  <c r="W19"/>
  <c r="X19"/>
  <c r="Y19"/>
  <c r="Z19"/>
  <c r="AA19"/>
  <c r="D20"/>
  <c r="E20"/>
  <c r="F20"/>
  <c r="G20"/>
  <c r="H20"/>
  <c r="I20"/>
  <c r="J20"/>
  <c r="K20"/>
  <c r="L20"/>
  <c r="M20"/>
  <c r="N20"/>
  <c r="O20"/>
  <c r="P20"/>
  <c r="Q20"/>
  <c r="R20"/>
  <c r="S20"/>
  <c r="T20"/>
  <c r="U20"/>
  <c r="V20"/>
  <c r="W20"/>
  <c r="X20"/>
  <c r="Y20"/>
  <c r="Z20"/>
  <c r="AA20"/>
  <c r="D22"/>
  <c r="E22"/>
  <c r="F22"/>
  <c r="G22"/>
  <c r="H22"/>
  <c r="I22"/>
  <c r="J22"/>
  <c r="K22"/>
  <c r="L22"/>
  <c r="M22"/>
  <c r="N22"/>
  <c r="O22"/>
  <c r="P22"/>
  <c r="Q22"/>
  <c r="R22"/>
  <c r="S22"/>
  <c r="T22"/>
  <c r="U22"/>
  <c r="V22"/>
  <c r="W22"/>
  <c r="X22"/>
  <c r="Y22"/>
  <c r="Z22"/>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2"/>
  <c r="D4"/>
  <c r="D22" s="1"/>
  <c r="E4"/>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Z17" s="1"/>
  <c r="E17"/>
  <c r="F17"/>
  <c r="G17"/>
  <c r="H17"/>
  <c r="I17"/>
  <c r="J17"/>
  <c r="K17"/>
  <c r="L17"/>
  <c r="M17"/>
  <c r="N17"/>
  <c r="O17"/>
  <c r="P17"/>
  <c r="Q17"/>
  <c r="R17"/>
  <c r="S17"/>
  <c r="T17"/>
  <c r="U17"/>
  <c r="V17"/>
  <c r="W17"/>
  <c r="X17"/>
  <c r="Y17"/>
  <c r="AA17"/>
  <c r="D18"/>
  <c r="E18"/>
  <c r="F18"/>
  <c r="G18"/>
  <c r="H18"/>
  <c r="I18"/>
  <c r="J18"/>
  <c r="K18"/>
  <c r="L18"/>
  <c r="M18"/>
  <c r="N18"/>
  <c r="O18"/>
  <c r="P18"/>
  <c r="Q18"/>
  <c r="R18"/>
  <c r="S18"/>
  <c r="T18"/>
  <c r="U18"/>
  <c r="V18"/>
  <c r="W18"/>
  <c r="X18"/>
  <c r="Y18"/>
  <c r="Z18"/>
  <c r="AA18"/>
  <c r="D19"/>
  <c r="E19"/>
  <c r="F19"/>
  <c r="G19"/>
  <c r="H19"/>
  <c r="I19"/>
  <c r="J19"/>
  <c r="K19"/>
  <c r="L19"/>
  <c r="M19"/>
  <c r="N19"/>
  <c r="O19"/>
  <c r="P19"/>
  <c r="Q19"/>
  <c r="R19"/>
  <c r="S19"/>
  <c r="T19"/>
  <c r="U19"/>
  <c r="V19"/>
  <c r="W19"/>
  <c r="X19"/>
  <c r="Y19"/>
  <c r="Z19"/>
  <c r="AA19"/>
  <c r="D20"/>
  <c r="E20"/>
  <c r="F20"/>
  <c r="G20"/>
  <c r="H20"/>
  <c r="I20"/>
  <c r="J20"/>
  <c r="K20"/>
  <c r="L20"/>
  <c r="M20"/>
  <c r="N20"/>
  <c r="O20"/>
  <c r="P20"/>
  <c r="Q20"/>
  <c r="R20"/>
  <c r="S20"/>
  <c r="T20"/>
  <c r="U20"/>
  <c r="V20"/>
  <c r="W20"/>
  <c r="X20"/>
  <c r="Y20"/>
  <c r="Z20"/>
  <c r="AA20"/>
  <c r="E22"/>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3"/>
  <c r="D4"/>
  <c r="D22" s="1"/>
  <c r="E4"/>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E17"/>
  <c r="F17"/>
  <c r="G17"/>
  <c r="H17"/>
  <c r="I17"/>
  <c r="J17"/>
  <c r="K17"/>
  <c r="L17"/>
  <c r="M17"/>
  <c r="N17"/>
  <c r="O17"/>
  <c r="P17"/>
  <c r="Q17"/>
  <c r="R17"/>
  <c r="S17"/>
  <c r="T17"/>
  <c r="U17"/>
  <c r="V17"/>
  <c r="W17"/>
  <c r="X17"/>
  <c r="Y17"/>
  <c r="Z17"/>
  <c r="AA17"/>
  <c r="D18"/>
  <c r="Z18" s="1"/>
  <c r="E18"/>
  <c r="F18"/>
  <c r="G18"/>
  <c r="H18"/>
  <c r="I18"/>
  <c r="J18"/>
  <c r="K18"/>
  <c r="L18"/>
  <c r="M18"/>
  <c r="N18"/>
  <c r="O18"/>
  <c r="P18"/>
  <c r="Q18"/>
  <c r="R18"/>
  <c r="S18"/>
  <c r="T18"/>
  <c r="U18"/>
  <c r="V18"/>
  <c r="W18"/>
  <c r="X18"/>
  <c r="Y18"/>
  <c r="AA18"/>
  <c r="D19"/>
  <c r="E19"/>
  <c r="F19"/>
  <c r="G19"/>
  <c r="H19"/>
  <c r="I19"/>
  <c r="J19"/>
  <c r="K19"/>
  <c r="L19"/>
  <c r="M19"/>
  <c r="N19"/>
  <c r="O19"/>
  <c r="P19"/>
  <c r="Q19"/>
  <c r="R19"/>
  <c r="S19"/>
  <c r="T19"/>
  <c r="U19"/>
  <c r="V19"/>
  <c r="W19"/>
  <c r="X19"/>
  <c r="Y19"/>
  <c r="Z19"/>
  <c r="AA19"/>
  <c r="D20"/>
  <c r="E20"/>
  <c r="F20"/>
  <c r="G20"/>
  <c r="H20"/>
  <c r="I20"/>
  <c r="J20"/>
  <c r="K20"/>
  <c r="L20"/>
  <c r="M20"/>
  <c r="N20"/>
  <c r="O20"/>
  <c r="P20"/>
  <c r="Q20"/>
  <c r="R20"/>
  <c r="S20"/>
  <c r="T20"/>
  <c r="U20"/>
  <c r="V20"/>
  <c r="W20"/>
  <c r="X20"/>
  <c r="Y20"/>
  <c r="Z20"/>
  <c r="AA20"/>
  <c r="E22"/>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D3" i="36"/>
  <c r="D4"/>
  <c r="D22" s="1"/>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A4"/>
  <c r="D5"/>
  <c r="E5"/>
  <c r="F5"/>
  <c r="G5"/>
  <c r="H5"/>
  <c r="I5"/>
  <c r="J5"/>
  <c r="K5"/>
  <c r="L5"/>
  <c r="M5"/>
  <c r="N5"/>
  <c r="O5"/>
  <c r="P5"/>
  <c r="Q5"/>
  <c r="R5"/>
  <c r="S5"/>
  <c r="T5"/>
  <c r="U5"/>
  <c r="V5"/>
  <c r="W5"/>
  <c r="X5"/>
  <c r="Y5"/>
  <c r="Z5"/>
  <c r="AA5"/>
  <c r="D6"/>
  <c r="E6"/>
  <c r="F6"/>
  <c r="G6"/>
  <c r="H6"/>
  <c r="I6"/>
  <c r="J6"/>
  <c r="K6"/>
  <c r="L6"/>
  <c r="M6"/>
  <c r="N6"/>
  <c r="O6"/>
  <c r="P6"/>
  <c r="Q6"/>
  <c r="R6"/>
  <c r="S6"/>
  <c r="T6"/>
  <c r="U6"/>
  <c r="V6"/>
  <c r="W6"/>
  <c r="X6"/>
  <c r="Y6"/>
  <c r="Z6"/>
  <c r="AA6"/>
  <c r="D7"/>
  <c r="E7"/>
  <c r="F7"/>
  <c r="G7"/>
  <c r="H7"/>
  <c r="I7"/>
  <c r="J7"/>
  <c r="K7"/>
  <c r="L7"/>
  <c r="M7"/>
  <c r="N7"/>
  <c r="O7"/>
  <c r="P7"/>
  <c r="Q7"/>
  <c r="R7"/>
  <c r="S7"/>
  <c r="T7"/>
  <c r="U7"/>
  <c r="V7"/>
  <c r="W7"/>
  <c r="X7"/>
  <c r="Y7"/>
  <c r="Z7"/>
  <c r="AA7"/>
  <c r="D8"/>
  <c r="E8"/>
  <c r="F8"/>
  <c r="G8"/>
  <c r="H8"/>
  <c r="I8"/>
  <c r="J8"/>
  <c r="K8"/>
  <c r="L8"/>
  <c r="M8"/>
  <c r="N8"/>
  <c r="O8"/>
  <c r="P8"/>
  <c r="Q8"/>
  <c r="R8"/>
  <c r="S8"/>
  <c r="T8"/>
  <c r="U8"/>
  <c r="V8"/>
  <c r="W8"/>
  <c r="X8"/>
  <c r="Y8"/>
  <c r="Z8"/>
  <c r="AA8"/>
  <c r="D9"/>
  <c r="E9"/>
  <c r="F9"/>
  <c r="G9"/>
  <c r="H9"/>
  <c r="I9"/>
  <c r="J9"/>
  <c r="K9"/>
  <c r="L9"/>
  <c r="M9"/>
  <c r="N9"/>
  <c r="O9"/>
  <c r="P9"/>
  <c r="Q9"/>
  <c r="R9"/>
  <c r="S9"/>
  <c r="T9"/>
  <c r="U9"/>
  <c r="V9"/>
  <c r="W9"/>
  <c r="X9"/>
  <c r="Y9"/>
  <c r="Z9"/>
  <c r="AA9"/>
  <c r="D10"/>
  <c r="E10"/>
  <c r="F10"/>
  <c r="G10"/>
  <c r="H10"/>
  <c r="I10"/>
  <c r="J10"/>
  <c r="K10"/>
  <c r="L10"/>
  <c r="M10"/>
  <c r="N10"/>
  <c r="O10"/>
  <c r="P10"/>
  <c r="Q10"/>
  <c r="R10"/>
  <c r="S10"/>
  <c r="T10"/>
  <c r="U10"/>
  <c r="V10"/>
  <c r="W10"/>
  <c r="X10"/>
  <c r="Y10"/>
  <c r="Z10"/>
  <c r="AA10"/>
  <c r="D11"/>
  <c r="E11"/>
  <c r="F11"/>
  <c r="G11"/>
  <c r="H11"/>
  <c r="I11"/>
  <c r="J11"/>
  <c r="K11"/>
  <c r="L11"/>
  <c r="M11"/>
  <c r="N11"/>
  <c r="O11"/>
  <c r="P11"/>
  <c r="Q11"/>
  <c r="R11"/>
  <c r="S11"/>
  <c r="T11"/>
  <c r="U11"/>
  <c r="V11"/>
  <c r="W11"/>
  <c r="X11"/>
  <c r="Y11"/>
  <c r="Z11"/>
  <c r="AA11"/>
  <c r="D12"/>
  <c r="E12"/>
  <c r="F12"/>
  <c r="G12"/>
  <c r="H12"/>
  <c r="I12"/>
  <c r="J12"/>
  <c r="K12"/>
  <c r="L12"/>
  <c r="M12"/>
  <c r="N12"/>
  <c r="O12"/>
  <c r="P12"/>
  <c r="Q12"/>
  <c r="R12"/>
  <c r="S12"/>
  <c r="T12"/>
  <c r="U12"/>
  <c r="V12"/>
  <c r="W12"/>
  <c r="X12"/>
  <c r="Y12"/>
  <c r="Z12"/>
  <c r="AA12"/>
  <c r="D13"/>
  <c r="E13"/>
  <c r="F13"/>
  <c r="G13"/>
  <c r="H13"/>
  <c r="I13"/>
  <c r="J13"/>
  <c r="K13"/>
  <c r="L13"/>
  <c r="M13"/>
  <c r="N13"/>
  <c r="O13"/>
  <c r="P13"/>
  <c r="Q13"/>
  <c r="R13"/>
  <c r="S13"/>
  <c r="T13"/>
  <c r="U13"/>
  <c r="V13"/>
  <c r="W13"/>
  <c r="X13"/>
  <c r="Y13"/>
  <c r="Z13"/>
  <c r="AA13"/>
  <c r="D14"/>
  <c r="E14"/>
  <c r="F14"/>
  <c r="G14"/>
  <c r="H14"/>
  <c r="I14"/>
  <c r="J14"/>
  <c r="K14"/>
  <c r="L14"/>
  <c r="M14"/>
  <c r="N14"/>
  <c r="O14"/>
  <c r="P14"/>
  <c r="Q14"/>
  <c r="R14"/>
  <c r="S14"/>
  <c r="T14"/>
  <c r="U14"/>
  <c r="V14"/>
  <c r="W14"/>
  <c r="X14"/>
  <c r="Y14"/>
  <c r="Z14"/>
  <c r="AA14"/>
  <c r="D15"/>
  <c r="E15"/>
  <c r="F15"/>
  <c r="G15"/>
  <c r="H15"/>
  <c r="I15"/>
  <c r="J15"/>
  <c r="K15"/>
  <c r="L15"/>
  <c r="M15"/>
  <c r="N15"/>
  <c r="O15"/>
  <c r="P15"/>
  <c r="Q15"/>
  <c r="R15"/>
  <c r="S15"/>
  <c r="T15"/>
  <c r="U15"/>
  <c r="V15"/>
  <c r="W15"/>
  <c r="X15"/>
  <c r="Y15"/>
  <c r="Z15"/>
  <c r="AA15"/>
  <c r="D16"/>
  <c r="E16"/>
  <c r="F16"/>
  <c r="G16"/>
  <c r="H16"/>
  <c r="I16"/>
  <c r="J16"/>
  <c r="K16"/>
  <c r="L16"/>
  <c r="M16"/>
  <c r="N16"/>
  <c r="O16"/>
  <c r="P16"/>
  <c r="Q16"/>
  <c r="R16"/>
  <c r="S16"/>
  <c r="T16"/>
  <c r="U16"/>
  <c r="V16"/>
  <c r="W16"/>
  <c r="X16"/>
  <c r="Y16"/>
  <c r="Z16"/>
  <c r="AA16"/>
  <c r="D17"/>
  <c r="E17"/>
  <c r="F17"/>
  <c r="G17"/>
  <c r="H17"/>
  <c r="I17"/>
  <c r="J17"/>
  <c r="K17"/>
  <c r="L17"/>
  <c r="M17"/>
  <c r="N17"/>
  <c r="O17"/>
  <c r="P17"/>
  <c r="Q17"/>
  <c r="R17"/>
  <c r="S17"/>
  <c r="T17"/>
  <c r="U17"/>
  <c r="V17"/>
  <c r="W17"/>
  <c r="X17"/>
  <c r="Y17"/>
  <c r="Z17"/>
  <c r="AA17"/>
  <c r="D18"/>
  <c r="E18"/>
  <c r="F18"/>
  <c r="G18"/>
  <c r="H18"/>
  <c r="I18"/>
  <c r="J18"/>
  <c r="K18"/>
  <c r="L18"/>
  <c r="M18"/>
  <c r="N18"/>
  <c r="O18"/>
  <c r="P18"/>
  <c r="Q18"/>
  <c r="R18"/>
  <c r="S18"/>
  <c r="T18"/>
  <c r="U18"/>
  <c r="V18"/>
  <c r="W18"/>
  <c r="X18"/>
  <c r="Y18"/>
  <c r="Z18"/>
  <c r="AA18"/>
  <c r="D19"/>
  <c r="Z19" s="1"/>
  <c r="E19"/>
  <c r="F19"/>
  <c r="G19"/>
  <c r="H19"/>
  <c r="I19"/>
  <c r="J19"/>
  <c r="K19"/>
  <c r="L19"/>
  <c r="M19"/>
  <c r="N19"/>
  <c r="O19"/>
  <c r="P19"/>
  <c r="Q19"/>
  <c r="R19"/>
  <c r="S19"/>
  <c r="T19"/>
  <c r="U19"/>
  <c r="V19"/>
  <c r="W19"/>
  <c r="X19"/>
  <c r="Y19"/>
  <c r="AA19"/>
  <c r="D20"/>
  <c r="Z20" s="1"/>
  <c r="E20"/>
  <c r="F20"/>
  <c r="G20"/>
  <c r="H20"/>
  <c r="I20"/>
  <c r="J20"/>
  <c r="K20"/>
  <c r="L20"/>
  <c r="M20"/>
  <c r="N20"/>
  <c r="O20"/>
  <c r="P20"/>
  <c r="Q20"/>
  <c r="R20"/>
  <c r="S20"/>
  <c r="T20"/>
  <c r="U20"/>
  <c r="V20"/>
  <c r="W20"/>
  <c r="X20"/>
  <c r="Y20"/>
  <c r="AA20"/>
  <c r="D24"/>
  <c r="E24"/>
  <c r="F24"/>
  <c r="G24"/>
  <c r="H24"/>
  <c r="I24"/>
  <c r="J24"/>
  <c r="K24"/>
  <c r="L24"/>
  <c r="M24"/>
  <c r="N24"/>
  <c r="O24"/>
  <c r="P24"/>
  <c r="Q24"/>
  <c r="R24"/>
  <c r="S24"/>
  <c r="T24"/>
  <c r="U24"/>
  <c r="V24"/>
  <c r="W24"/>
  <c r="X24"/>
  <c r="Y24"/>
  <c r="Z24"/>
  <c r="D25"/>
  <c r="E25"/>
  <c r="F25"/>
  <c r="G25"/>
  <c r="H25"/>
  <c r="I25"/>
  <c r="J25"/>
  <c r="K25"/>
  <c r="L25"/>
  <c r="M25"/>
  <c r="N25"/>
  <c r="O25"/>
  <c r="P25"/>
  <c r="Q25"/>
  <c r="R25"/>
  <c r="S25"/>
  <c r="T25"/>
  <c r="U25"/>
  <c r="V25"/>
  <c r="W25"/>
  <c r="X25"/>
  <c r="Y25"/>
  <c r="Z25"/>
  <c r="D26"/>
  <c r="E26"/>
  <c r="F26"/>
  <c r="G26"/>
  <c r="H26"/>
  <c r="I26"/>
  <c r="J26"/>
  <c r="K26"/>
  <c r="L26"/>
  <c r="M26"/>
  <c r="N26"/>
  <c r="O26"/>
  <c r="P26"/>
  <c r="Q26"/>
  <c r="R26"/>
  <c r="S26"/>
  <c r="T26"/>
  <c r="U26"/>
  <c r="V26"/>
  <c r="W26"/>
  <c r="X26"/>
  <c r="Y26"/>
  <c r="Z26"/>
  <c r="AA4" i="25"/>
  <c r="AA5"/>
  <c r="AA6"/>
  <c r="AA7"/>
  <c r="AA8"/>
  <c r="AA9"/>
  <c r="AA10"/>
  <c r="AA11"/>
  <c r="AA12"/>
  <c r="AA13"/>
  <c r="AA14"/>
  <c r="AA15"/>
  <c r="AA16"/>
  <c r="AA17"/>
  <c r="AA18"/>
  <c r="AA19"/>
  <c r="AA20"/>
  <c r="AA4" i="40"/>
  <c r="AA5"/>
  <c r="AA6"/>
  <c r="AA7"/>
  <c r="AA8"/>
  <c r="AA9"/>
  <c r="AA10"/>
  <c r="AA11"/>
  <c r="AA12"/>
  <c r="AA13"/>
  <c r="AA14"/>
  <c r="AA15"/>
  <c r="AA16"/>
  <c r="AA17"/>
  <c r="AA18"/>
  <c r="AA19"/>
  <c r="AA20"/>
  <c r="AA4" i="16"/>
  <c r="AA5"/>
  <c r="AA6"/>
  <c r="AA7"/>
  <c r="AA8"/>
  <c r="AA9"/>
  <c r="AA10"/>
  <c r="AA11"/>
  <c r="AA12"/>
  <c r="AA13"/>
  <c r="AA14"/>
  <c r="AA15"/>
  <c r="AA16"/>
  <c r="AA17"/>
  <c r="AA18"/>
  <c r="AA19"/>
  <c r="AA20"/>
  <c r="AA4" i="12"/>
  <c r="AA5"/>
  <c r="AA6"/>
  <c r="AA7"/>
  <c r="AA8"/>
  <c r="AA9"/>
  <c r="AA10"/>
  <c r="AA11"/>
  <c r="AA12"/>
  <c r="AA13"/>
  <c r="AA14"/>
  <c r="AA15"/>
  <c r="AA16"/>
  <c r="AA17"/>
  <c r="AA18"/>
  <c r="AA19"/>
  <c r="AA20"/>
  <c r="AE21"/>
  <c r="AE22"/>
  <c r="Z21"/>
  <c r="AA4" i="28"/>
  <c r="AA5"/>
  <c r="AA6"/>
  <c r="AA7"/>
  <c r="AA8"/>
  <c r="AA9"/>
  <c r="AA10"/>
  <c r="AA11"/>
  <c r="AA12"/>
  <c r="AA13"/>
  <c r="AA14"/>
  <c r="AA15"/>
  <c r="AA16"/>
  <c r="AA17"/>
  <c r="AA18"/>
  <c r="AA19"/>
  <c r="AA20"/>
  <c r="AA4" i="35"/>
  <c r="AA5"/>
  <c r="AA6"/>
  <c r="AA7"/>
  <c r="AA8"/>
  <c r="AA9"/>
  <c r="AA10"/>
  <c r="AA11"/>
  <c r="AA12"/>
  <c r="AA13"/>
  <c r="AA14"/>
  <c r="AA15"/>
  <c r="AA16"/>
  <c r="AA17"/>
  <c r="AA18"/>
  <c r="AA19"/>
  <c r="AA20"/>
  <c r="AA4" i="14"/>
  <c r="AA5"/>
  <c r="AA6"/>
  <c r="AA7"/>
  <c r="AA8"/>
  <c r="AA9"/>
  <c r="AA10"/>
  <c r="AA11"/>
  <c r="AA12"/>
  <c r="AA13"/>
  <c r="AA14"/>
  <c r="AA15"/>
  <c r="AA16"/>
  <c r="AA17"/>
  <c r="AA18"/>
  <c r="AA19"/>
  <c r="AA20"/>
  <c r="Z21"/>
  <c r="AA4" i="30"/>
  <c r="AA5"/>
  <c r="AA6"/>
  <c r="AA7"/>
  <c r="AA8"/>
  <c r="AA9"/>
  <c r="AA10"/>
  <c r="AA11"/>
  <c r="AA12"/>
  <c r="AA13"/>
  <c r="AA14"/>
  <c r="AA15"/>
  <c r="AA16"/>
  <c r="AA17"/>
  <c r="AA18"/>
  <c r="AA19"/>
  <c r="AA20"/>
  <c r="Z21"/>
  <c r="AA4" i="37"/>
  <c r="AA5"/>
  <c r="AA6"/>
  <c r="AA7"/>
  <c r="AA8"/>
  <c r="AA9"/>
  <c r="AA10"/>
  <c r="AA11"/>
  <c r="AA12"/>
  <c r="AA13"/>
  <c r="AA14"/>
  <c r="AA15"/>
  <c r="AA16"/>
  <c r="AA17"/>
  <c r="AA18"/>
  <c r="AA19"/>
  <c r="AA20"/>
  <c r="D3" i="21"/>
  <c r="AA4"/>
  <c r="AA5"/>
  <c r="AA6"/>
  <c r="AA7"/>
  <c r="AA8"/>
  <c r="AA9"/>
  <c r="AA10"/>
  <c r="AA11"/>
  <c r="AA12"/>
  <c r="AA13"/>
  <c r="AA14"/>
  <c r="AA15"/>
  <c r="AA16"/>
  <c r="AA17"/>
  <c r="AA18"/>
  <c r="AA19"/>
  <c r="AA20"/>
  <c r="Z21"/>
  <c r="Z46" i="10"/>
  <c r="N19" i="19" s="1"/>
  <c r="Z32" i="10"/>
  <c r="N13" i="19" s="1"/>
  <c r="Z26" i="45"/>
  <c r="Z15" i="10"/>
  <c r="N8" i="19" s="1"/>
  <c r="Z27" i="10"/>
  <c r="N31" i="19" s="1"/>
  <c r="Z38" i="10"/>
  <c r="N36" i="19" s="1"/>
  <c r="Z21" i="25"/>
  <c r="Z9" i="10"/>
  <c r="N20" i="19" s="1"/>
  <c r="Z26" i="10"/>
  <c r="N11" i="19" s="1"/>
  <c r="Z30" i="10"/>
  <c r="N28" i="19" s="1"/>
  <c r="Z13" i="10"/>
  <c r="N6" i="19" s="1"/>
  <c r="Z17" i="10"/>
  <c r="N25" i="19" s="1"/>
  <c r="Z37" i="10"/>
  <c r="N39" i="19" s="1"/>
  <c r="Z2" i="10"/>
  <c r="N2" i="19" s="1"/>
  <c r="Z25" i="10"/>
  <c r="A1" i="9"/>
  <c r="C1"/>
  <c r="E1"/>
  <c r="G1"/>
  <c r="I1"/>
  <c r="K1"/>
  <c r="M1"/>
  <c r="Q1"/>
  <c r="S1"/>
  <c r="U1"/>
  <c r="A2"/>
  <c r="C2"/>
  <c r="E2"/>
  <c r="G2"/>
  <c r="I2"/>
  <c r="K2"/>
  <c r="M2"/>
  <c r="Q2"/>
  <c r="S2"/>
  <c r="U2"/>
  <c r="A3"/>
  <c r="C3"/>
  <c r="E3"/>
  <c r="G3"/>
  <c r="I3"/>
  <c r="K3"/>
  <c r="M3"/>
  <c r="Q3"/>
  <c r="S3"/>
  <c r="A4"/>
  <c r="C4"/>
  <c r="E4"/>
  <c r="G4"/>
  <c r="I4"/>
  <c r="K4"/>
  <c r="M4"/>
  <c r="Q4"/>
  <c r="S4"/>
  <c r="U4"/>
  <c r="A5"/>
  <c r="C5"/>
  <c r="E5"/>
  <c r="G5"/>
  <c r="I5"/>
  <c r="K5"/>
  <c r="M5"/>
  <c r="Q5"/>
  <c r="S5"/>
  <c r="U5"/>
  <c r="A6"/>
  <c r="C6"/>
  <c r="E6"/>
  <c r="G6"/>
  <c r="I6"/>
  <c r="K6"/>
  <c r="M6"/>
  <c r="Q6"/>
  <c r="S6"/>
  <c r="U6"/>
  <c r="A7"/>
  <c r="C7"/>
  <c r="E7"/>
  <c r="F7" s="1"/>
  <c r="G7"/>
  <c r="I7"/>
  <c r="K7"/>
  <c r="M7"/>
  <c r="Q7"/>
  <c r="S7"/>
  <c r="U7"/>
  <c r="A8"/>
  <c r="C8"/>
  <c r="E8"/>
  <c r="G8"/>
  <c r="I8"/>
  <c r="K8"/>
  <c r="M8"/>
  <c r="Q8"/>
  <c r="S8"/>
  <c r="U8"/>
  <c r="A9"/>
  <c r="C9"/>
  <c r="E9"/>
  <c r="G9"/>
  <c r="I9"/>
  <c r="K9"/>
  <c r="M9"/>
  <c r="Q9"/>
  <c r="S9"/>
  <c r="U9"/>
  <c r="A10"/>
  <c r="C10"/>
  <c r="E10"/>
  <c r="G10"/>
  <c r="I10"/>
  <c r="K10"/>
  <c r="M10"/>
  <c r="Q10"/>
  <c r="S10"/>
  <c r="U10"/>
  <c r="V10" s="1"/>
  <c r="A11"/>
  <c r="C11"/>
  <c r="E11"/>
  <c r="G11"/>
  <c r="I11"/>
  <c r="K11"/>
  <c r="M11"/>
  <c r="Q11"/>
  <c r="S11"/>
  <c r="U11"/>
  <c r="A12"/>
  <c r="C12"/>
  <c r="E12"/>
  <c r="G12"/>
  <c r="I12"/>
  <c r="K12"/>
  <c r="M12"/>
  <c r="Q12"/>
  <c r="S12"/>
  <c r="U12"/>
  <c r="A13"/>
  <c r="C13"/>
  <c r="E13"/>
  <c r="G13"/>
  <c r="I13"/>
  <c r="K13"/>
  <c r="M13"/>
  <c r="Q13"/>
  <c r="S13"/>
  <c r="U13"/>
  <c r="A14"/>
  <c r="C14"/>
  <c r="E14"/>
  <c r="G14"/>
  <c r="I14"/>
  <c r="K14"/>
  <c r="M14"/>
  <c r="N14" s="1"/>
  <c r="Q14"/>
  <c r="S14"/>
  <c r="T14" s="1"/>
  <c r="U14"/>
  <c r="A15"/>
  <c r="C15"/>
  <c r="E15"/>
  <c r="G15"/>
  <c r="I15"/>
  <c r="K15"/>
  <c r="M15"/>
  <c r="Q15"/>
  <c r="S15"/>
  <c r="U15"/>
  <c r="V15" s="1"/>
  <c r="A16"/>
  <c r="B16" s="1"/>
  <c r="C16"/>
  <c r="E16"/>
  <c r="G16"/>
  <c r="I16"/>
  <c r="K16"/>
  <c r="M16"/>
  <c r="Q16"/>
  <c r="S16"/>
  <c r="U16"/>
  <c r="A17"/>
  <c r="C17"/>
  <c r="E17"/>
  <c r="G17"/>
  <c r="I17"/>
  <c r="K17"/>
  <c r="M17"/>
  <c r="Q17"/>
  <c r="S17"/>
  <c r="U17"/>
  <c r="A18"/>
  <c r="C18"/>
  <c r="E18"/>
  <c r="F18" s="1"/>
  <c r="G18"/>
  <c r="I18"/>
  <c r="K18"/>
  <c r="M18"/>
  <c r="Q18"/>
  <c r="S18"/>
  <c r="U18"/>
  <c r="A19"/>
  <c r="C19"/>
  <c r="E19"/>
  <c r="G19"/>
  <c r="I19"/>
  <c r="J19" s="1"/>
  <c r="K19"/>
  <c r="M19"/>
  <c r="Q19"/>
  <c r="S19"/>
  <c r="T19" s="1"/>
  <c r="U19"/>
  <c r="A20"/>
  <c r="C20"/>
  <c r="E20"/>
  <c r="G20"/>
  <c r="I20"/>
  <c r="K20"/>
  <c r="M20"/>
  <c r="Q20"/>
  <c r="S20"/>
  <c r="V20"/>
  <c r="A21"/>
  <c r="C21"/>
  <c r="E21"/>
  <c r="G21"/>
  <c r="I21"/>
  <c r="K21"/>
  <c r="M21"/>
  <c r="Q21"/>
  <c r="S21"/>
  <c r="A22"/>
  <c r="C22"/>
  <c r="E22"/>
  <c r="G22"/>
  <c r="I22"/>
  <c r="K22"/>
  <c r="M22"/>
  <c r="Q22"/>
  <c r="S22"/>
  <c r="A23"/>
  <c r="C23"/>
  <c r="E23"/>
  <c r="G23"/>
  <c r="I23"/>
  <c r="K23"/>
  <c r="M23"/>
  <c r="Q23"/>
  <c r="S23"/>
  <c r="A24"/>
  <c r="B24" s="1"/>
  <c r="C24"/>
  <c r="E24"/>
  <c r="G24"/>
  <c r="I24"/>
  <c r="J24" s="1"/>
  <c r="K24"/>
  <c r="M24"/>
  <c r="Q24"/>
  <c r="S24"/>
  <c r="A25"/>
  <c r="C25"/>
  <c r="E25"/>
  <c r="G25"/>
  <c r="I25"/>
  <c r="K25"/>
  <c r="M25"/>
  <c r="Q25"/>
  <c r="R25" s="1"/>
  <c r="S25"/>
  <c r="A26"/>
  <c r="C26"/>
  <c r="E26"/>
  <c r="F26" s="1"/>
  <c r="G26"/>
  <c r="I26"/>
  <c r="K26"/>
  <c r="L26" s="1"/>
  <c r="M26"/>
  <c r="Q26"/>
  <c r="S26"/>
  <c r="C2" i="2"/>
  <c r="C21" s="1"/>
  <c r="AC21" s="1"/>
  <c r="E21"/>
  <c r="AE21" s="1"/>
  <c r="AD15"/>
  <c r="AD16"/>
  <c r="AD17"/>
  <c r="AD18"/>
  <c r="AB48"/>
  <c r="Z11" i="10"/>
  <c r="N33" i="19" s="1"/>
  <c r="Z20" i="10"/>
  <c r="N21" i="19" s="1"/>
  <c r="T22" i="25"/>
  <c r="Z8" i="10"/>
  <c r="N4" i="19" s="1"/>
  <c r="H4" i="9"/>
  <c r="Z21" i="40"/>
  <c r="M22" i="16"/>
  <c r="E3" i="17"/>
  <c r="E3" i="15"/>
  <c r="E3" i="33"/>
  <c r="E3" i="34"/>
  <c r="E3" i="32"/>
  <c r="E3" i="36"/>
  <c r="F3" i="21"/>
  <c r="Z45" i="10"/>
  <c r="N23" i="19" s="1"/>
  <c r="F3" i="34"/>
  <c r="F3" i="32"/>
  <c r="F3" i="36"/>
  <c r="F3" i="17"/>
  <c r="F3" i="15"/>
  <c r="F3" i="33"/>
  <c r="G3" i="21"/>
  <c r="F21" i="2"/>
  <c r="AF21" s="1"/>
  <c r="G3" i="17"/>
  <c r="G3" i="15"/>
  <c r="G3" i="33"/>
  <c r="G3" i="34"/>
  <c r="G3" i="32"/>
  <c r="G3" i="36"/>
  <c r="H3" i="21"/>
  <c r="X3" i="34"/>
  <c r="X3" i="32"/>
  <c r="X3" i="36"/>
  <c r="X3" i="17"/>
  <c r="X3" i="15"/>
  <c r="X3" i="33"/>
  <c r="F9" i="9"/>
  <c r="F36" i="2"/>
  <c r="F49" s="1"/>
  <c r="T22" i="16"/>
  <c r="W22" i="40"/>
  <c r="S22" i="12"/>
  <c r="T22"/>
  <c r="U22" i="16"/>
  <c r="U22" i="40"/>
  <c r="U22" i="25"/>
  <c r="Z39" i="10"/>
  <c r="N27" i="19" s="1"/>
  <c r="W22" i="25"/>
  <c r="X22"/>
  <c r="X22" i="40"/>
  <c r="U22" i="35"/>
  <c r="V22" i="28"/>
  <c r="V22" i="40"/>
  <c r="S22" i="16"/>
  <c r="C36" i="2"/>
  <c r="AC36" s="1"/>
  <c r="S22" i="28"/>
  <c r="V22" i="30"/>
  <c r="X21" i="2"/>
  <c r="AX21" s="1"/>
  <c r="X36"/>
  <c r="AX36" s="1"/>
  <c r="Z29" i="10"/>
  <c r="N18" i="19" s="1"/>
  <c r="Z33" i="10"/>
  <c r="N38" i="19" s="1"/>
  <c r="Z28" i="10"/>
  <c r="N26" i="19" s="1"/>
  <c r="I22" i="16"/>
  <c r="P22"/>
  <c r="Q22" i="12"/>
  <c r="Z21" i="28"/>
  <c r="H22" i="25"/>
  <c r="L22" i="12"/>
  <c r="O22" i="25"/>
  <c r="P22" i="28"/>
  <c r="R22" i="14"/>
  <c r="Z16" i="10"/>
  <c r="N24" i="19" s="1"/>
  <c r="F22" i="28"/>
  <c r="M22" i="14"/>
  <c r="Z14" i="10"/>
  <c r="N7" i="19" s="1"/>
  <c r="Z7" i="10"/>
  <c r="N3" i="19" s="1"/>
  <c r="H7" i="9"/>
  <c r="D22" i="25"/>
  <c r="W22" i="12"/>
  <c r="Q22" i="35"/>
  <c r="F22" i="30"/>
  <c r="W22" i="28"/>
  <c r="V22" i="16"/>
  <c r="V22" i="25"/>
  <c r="J22" i="35"/>
  <c r="X22" i="28"/>
  <c r="W22" i="16"/>
  <c r="X22" i="37"/>
  <c r="Z21"/>
  <c r="M22" i="30"/>
  <c r="F22" i="37"/>
  <c r="Q22" i="28"/>
  <c r="M22" i="40"/>
  <c r="L22" i="25"/>
  <c r="G21" i="2"/>
  <c r="AG21" s="1"/>
  <c r="G36"/>
  <c r="AG36" s="1"/>
  <c r="K22" i="12"/>
  <c r="I23" i="19"/>
  <c r="L21"/>
  <c r="L4"/>
  <c r="H3"/>
  <c r="D6"/>
  <c r="G14"/>
  <c r="J19"/>
  <c r="C4"/>
  <c r="F8"/>
  <c r="C38"/>
  <c r="K33"/>
  <c r="I37"/>
  <c r="F14"/>
  <c r="C6"/>
  <c r="L14"/>
  <c r="E5"/>
  <c r="F19"/>
  <c r="E19"/>
  <c r="G17"/>
  <c r="I22"/>
  <c r="J4"/>
  <c r="C11"/>
  <c r="C14"/>
  <c r="G5"/>
  <c r="L37"/>
  <c r="H25"/>
  <c r="J12"/>
  <c r="D20"/>
  <c r="D3"/>
  <c r="I19"/>
  <c r="L25"/>
  <c r="D8"/>
  <c r="H19"/>
  <c r="E14"/>
  <c r="D25"/>
  <c r="B4" i="2"/>
  <c r="E4" i="19"/>
  <c r="D14"/>
  <c r="C7"/>
  <c r="D30"/>
  <c r="F4"/>
  <c r="K24"/>
  <c r="C5"/>
  <c r="K30"/>
  <c r="F10"/>
  <c r="F20"/>
  <c r="H4"/>
  <c r="G33"/>
  <c r="F9"/>
  <c r="L23"/>
  <c r="D24"/>
  <c r="C3"/>
  <c r="D7"/>
  <c r="K35"/>
  <c r="K19"/>
  <c r="I8"/>
  <c r="C10"/>
  <c r="H6"/>
  <c r="H34"/>
  <c r="I14"/>
  <c r="D12"/>
  <c r="I7"/>
  <c r="J33"/>
  <c r="B3" i="2"/>
  <c r="K3" i="19"/>
  <c r="L7"/>
  <c r="H30"/>
  <c r="E17"/>
  <c r="C8"/>
  <c r="I25"/>
  <c r="E3"/>
  <c r="G4"/>
  <c r="L10"/>
  <c r="L34"/>
  <c r="G10"/>
  <c r="C17"/>
  <c r="F17"/>
  <c r="F33"/>
  <c r="J8"/>
  <c r="C20"/>
  <c r="J24"/>
  <c r="H20"/>
  <c r="L12"/>
  <c r="K17"/>
  <c r="K4"/>
  <c r="E24"/>
  <c r="G24"/>
  <c r="I12"/>
  <c r="F12"/>
  <c r="D11"/>
  <c r="F25"/>
  <c r="D17"/>
  <c r="H24"/>
  <c r="F5"/>
  <c r="G31"/>
  <c r="D5"/>
  <c r="G34"/>
  <c r="L17"/>
  <c r="G8"/>
  <c r="G11"/>
  <c r="L29"/>
  <c r="E6"/>
  <c r="L22"/>
  <c r="L20"/>
  <c r="F3"/>
  <c r="K9"/>
  <c r="J5"/>
  <c r="L31"/>
  <c r="J30"/>
  <c r="H10"/>
  <c r="I4"/>
  <c r="H5"/>
  <c r="G30"/>
  <c r="J14"/>
  <c r="C19"/>
  <c r="L5"/>
  <c r="I3"/>
  <c r="G7"/>
  <c r="L3"/>
  <c r="D19"/>
  <c r="I5"/>
  <c r="L15"/>
  <c r="I29"/>
  <c r="K28"/>
  <c r="G3"/>
  <c r="E8"/>
  <c r="H17"/>
  <c r="E10"/>
  <c r="G6"/>
  <c r="D4" i="2"/>
  <c r="J11" i="19"/>
  <c r="J35"/>
  <c r="E11"/>
  <c r="J25"/>
  <c r="P14" i="9" l="1"/>
  <c r="Z24" i="12"/>
  <c r="P15" i="9"/>
  <c r="X49" i="2"/>
  <c r="Z10" i="10"/>
  <c r="N43" i="19" s="1"/>
  <c r="P4" i="9"/>
  <c r="Z34" i="10"/>
  <c r="N22" i="19" s="1"/>
  <c r="P6" i="9"/>
  <c r="Z4" i="10"/>
  <c r="N17" i="19" s="1"/>
  <c r="P19" i="9"/>
  <c r="Z47" i="10"/>
  <c r="N44" i="19" s="1"/>
  <c r="P12" i="9"/>
  <c r="Z41" i="10"/>
  <c r="N40" i="19" s="1"/>
  <c r="P16" i="9"/>
  <c r="Z24" i="14"/>
  <c r="P10" i="9"/>
  <c r="Z40" i="10"/>
  <c r="N32" i="19" s="1"/>
  <c r="P17" i="9"/>
  <c r="Z3" i="10"/>
  <c r="N41" i="19" s="1"/>
  <c r="P13" i="9"/>
  <c r="Z25" i="21"/>
  <c r="P24" i="9"/>
  <c r="L8"/>
  <c r="P8"/>
  <c r="B7"/>
  <c r="F11"/>
  <c r="T4"/>
  <c r="J10"/>
  <c r="J5"/>
  <c r="L14"/>
  <c r="Z18" i="10"/>
  <c r="N30" i="19" s="1"/>
  <c r="L6" i="9"/>
  <c r="L24"/>
  <c r="V16"/>
  <c r="V25"/>
  <c r="H25"/>
  <c r="D24"/>
  <c r="L18"/>
  <c r="L15"/>
  <c r="L10"/>
  <c r="V8"/>
  <c r="L7"/>
  <c r="V5"/>
  <c r="L5"/>
  <c r="V6"/>
  <c r="D6"/>
  <c r="D16"/>
  <c r="Z19" i="10"/>
  <c r="N34" i="19" s="1"/>
  <c r="J12" i="9"/>
  <c r="Z22" i="10"/>
  <c r="N35" i="19" s="1"/>
  <c r="J25" i="9"/>
  <c r="B25"/>
  <c r="F24"/>
  <c r="T20"/>
  <c r="F20"/>
  <c r="F19"/>
  <c r="T18"/>
  <c r="J17"/>
  <c r="T15"/>
  <c r="B14"/>
  <c r="T13"/>
  <c r="N13"/>
  <c r="T12"/>
  <c r="B12"/>
  <c r="T11"/>
  <c r="T10"/>
  <c r="N10"/>
  <c r="T8"/>
  <c r="J7"/>
  <c r="F6"/>
  <c r="B6"/>
  <c r="T5"/>
  <c r="Z6" i="10"/>
  <c r="N37" i="19" s="1"/>
  <c r="N5" i="9"/>
  <c r="Z48" i="10"/>
  <c r="T26" i="9"/>
  <c r="J26"/>
  <c r="N25"/>
  <c r="N24"/>
  <c r="T17"/>
  <c r="N17"/>
  <c r="F14"/>
  <c r="F10"/>
  <c r="F17"/>
  <c r="F13"/>
  <c r="B26"/>
  <c r="T25"/>
  <c r="F25"/>
  <c r="F16"/>
  <c r="J13"/>
  <c r="T6"/>
  <c r="V7"/>
  <c r="H19"/>
  <c r="Z36" i="10"/>
  <c r="N42" i="19" s="1"/>
  <c r="H6" i="9"/>
  <c r="H13"/>
  <c r="V4"/>
  <c r="B20"/>
  <c r="T9"/>
  <c r="T7"/>
  <c r="N7"/>
  <c r="Z25" i="40"/>
  <c r="Z25" i="14"/>
  <c r="Z25" i="37"/>
  <c r="Z25" i="12"/>
  <c r="Z24" i="16"/>
  <c r="Z24" i="37"/>
  <c r="Z24" i="21"/>
  <c r="Z26" i="35"/>
  <c r="Z5" i="10"/>
  <c r="N29" i="19" s="1"/>
  <c r="Z24" i="45"/>
  <c r="Z21" i="10"/>
  <c r="N9" i="19" s="1"/>
  <c r="Z25" i="45"/>
  <c r="N26" i="9"/>
  <c r="T24"/>
  <c r="T16"/>
  <c r="F12"/>
  <c r="F4"/>
  <c r="D5"/>
  <c r="R24"/>
  <c r="V12"/>
  <c r="L25"/>
  <c r="L4"/>
  <c r="F5"/>
  <c r="V26"/>
  <c r="R26"/>
  <c r="H26"/>
  <c r="D26"/>
  <c r="D25"/>
  <c r="V24"/>
  <c r="H24"/>
  <c r="L20"/>
  <c r="V19"/>
  <c r="L19"/>
  <c r="V18"/>
  <c r="V17"/>
  <c r="L17"/>
  <c r="V14"/>
  <c r="V13"/>
  <c r="L13"/>
  <c r="L12"/>
  <c r="V11"/>
  <c r="L11"/>
  <c r="V9"/>
  <c r="L9"/>
  <c r="Z25" i="16"/>
  <c r="Z25" i="25"/>
  <c r="Z25" i="35"/>
  <c r="Z25" i="30"/>
  <c r="Z24" i="40"/>
  <c r="Z24" i="28"/>
  <c r="Z24" i="25"/>
  <c r="Z24" i="30"/>
  <c r="Z26" i="12"/>
  <c r="Z26" i="21"/>
  <c r="Z25" i="28"/>
  <c r="L16" i="9"/>
  <c r="F15"/>
  <c r="F8"/>
  <c r="Z26" i="14"/>
  <c r="Z26" i="40"/>
  <c r="Z26" i="16"/>
  <c r="Z26" i="28"/>
  <c r="Z26" i="25"/>
  <c r="Z26" i="37"/>
  <c r="Z24" i="35"/>
  <c r="Z26" i="30"/>
  <c r="E22" i="21"/>
  <c r="AD14" i="2"/>
  <c r="D6" i="21"/>
  <c r="D8"/>
  <c r="D10"/>
  <c r="D12"/>
  <c r="D14"/>
  <c r="D16"/>
  <c r="D18"/>
  <c r="D20"/>
  <c r="D5"/>
  <c r="D9"/>
  <c r="D15"/>
  <c r="D19"/>
  <c r="D7"/>
  <c r="D11"/>
  <c r="D13"/>
  <c r="D17"/>
  <c r="D4"/>
  <c r="H5"/>
  <c r="H7"/>
  <c r="H9"/>
  <c r="H11"/>
  <c r="H13"/>
  <c r="H15"/>
  <c r="H17"/>
  <c r="H19"/>
  <c r="H4"/>
  <c r="H6"/>
  <c r="H8"/>
  <c r="H10"/>
  <c r="H12"/>
  <c r="H14"/>
  <c r="H16"/>
  <c r="H18"/>
  <c r="H20"/>
  <c r="G4"/>
  <c r="G6"/>
  <c r="G8"/>
  <c r="G10"/>
  <c r="G12"/>
  <c r="G14"/>
  <c r="G16"/>
  <c r="G18"/>
  <c r="G20"/>
  <c r="G5"/>
  <c r="G7"/>
  <c r="G9"/>
  <c r="G11"/>
  <c r="G13"/>
  <c r="G15"/>
  <c r="G17"/>
  <c r="G19"/>
  <c r="F5"/>
  <c r="F7"/>
  <c r="F9"/>
  <c r="F11"/>
  <c r="F13"/>
  <c r="F15"/>
  <c r="F17"/>
  <c r="F19"/>
  <c r="F4"/>
  <c r="F6"/>
  <c r="F8"/>
  <c r="F10"/>
  <c r="F12"/>
  <c r="F14"/>
  <c r="F16"/>
  <c r="F18"/>
  <c r="F20"/>
  <c r="J22" i="14"/>
  <c r="H22" i="12"/>
  <c r="N22" i="25"/>
  <c r="K22" i="40"/>
  <c r="O22" i="35"/>
  <c r="N22" i="14"/>
  <c r="N22" i="40"/>
  <c r="R8" i="9"/>
  <c r="Z35" i="10"/>
  <c r="R15" i="9"/>
  <c r="R11"/>
  <c r="N20"/>
  <c r="N19"/>
  <c r="B19"/>
  <c r="N18"/>
  <c r="B18"/>
  <c r="B17"/>
  <c r="N16"/>
  <c r="N15"/>
  <c r="B15"/>
  <c r="B13"/>
  <c r="N12"/>
  <c r="N11"/>
  <c r="B11"/>
  <c r="B10"/>
  <c r="N9"/>
  <c r="B9"/>
  <c r="N8"/>
  <c r="B8"/>
  <c r="N6"/>
  <c r="B5"/>
  <c r="N4"/>
  <c r="B4"/>
  <c r="R14"/>
  <c r="J20"/>
  <c r="J18"/>
  <c r="J16"/>
  <c r="J15"/>
  <c r="J14"/>
  <c r="J11"/>
  <c r="J9"/>
  <c r="J8"/>
  <c r="J6"/>
  <c r="J4"/>
  <c r="Z14" i="40"/>
  <c r="Z10"/>
  <c r="Z8"/>
  <c r="Z15" i="16"/>
  <c r="Z13"/>
  <c r="Z11"/>
  <c r="Z7"/>
  <c r="Z5"/>
  <c r="Z16" i="28"/>
  <c r="Z10"/>
  <c r="Z8"/>
  <c r="Z15" i="14"/>
  <c r="Z18" i="25"/>
  <c r="Z16"/>
  <c r="Z12"/>
  <c r="Z10"/>
  <c r="Z11" i="37"/>
  <c r="Z18" i="30"/>
  <c r="D14" i="9"/>
  <c r="Z13" i="12"/>
  <c r="Z8" i="25"/>
  <c r="Z16" i="30"/>
  <c r="H22" i="40"/>
  <c r="Z16"/>
  <c r="D13" i="9"/>
  <c r="D4"/>
  <c r="Z19" i="16"/>
  <c r="R4" i="9"/>
  <c r="R20"/>
  <c r="H20"/>
  <c r="D20"/>
  <c r="R19"/>
  <c r="D19"/>
  <c r="R18"/>
  <c r="H18"/>
  <c r="D18"/>
  <c r="R17"/>
  <c r="H17"/>
  <c r="D17"/>
  <c r="R16"/>
  <c r="H16"/>
  <c r="H15"/>
  <c r="D15"/>
  <c r="H14"/>
  <c r="R13"/>
  <c r="R12"/>
  <c r="H12"/>
  <c r="D12"/>
  <c r="H11"/>
  <c r="D11"/>
  <c r="R10"/>
  <c r="H10"/>
  <c r="D10"/>
  <c r="R9"/>
  <c r="H9"/>
  <c r="D9"/>
  <c r="H8"/>
  <c r="D8"/>
  <c r="R7"/>
  <c r="D7"/>
  <c r="R6"/>
  <c r="R5"/>
  <c r="H5"/>
  <c r="Z19" i="40"/>
  <c r="Z13"/>
  <c r="Z11"/>
  <c r="Z5"/>
  <c r="Z14" i="16"/>
  <c r="Z10"/>
  <c r="Z17" i="28"/>
  <c r="Z7"/>
  <c r="Z5"/>
  <c r="Z19" i="25"/>
  <c r="Z7"/>
  <c r="Z10" i="37"/>
  <c r="Z19" i="35"/>
  <c r="Z5"/>
  <c r="Z18" i="12"/>
  <c r="Z16"/>
  <c r="Z14"/>
  <c r="Z10"/>
  <c r="Z8"/>
  <c r="Z6"/>
  <c r="Z7" i="30"/>
  <c r="Z20" i="40"/>
  <c r="Z20" i="25"/>
  <c r="O22" i="40"/>
  <c r="Z9" i="35"/>
  <c r="Z15" i="28"/>
  <c r="R22"/>
  <c r="D22" i="30"/>
  <c r="I22"/>
  <c r="O22"/>
  <c r="Z13" i="25"/>
  <c r="F22" i="40"/>
  <c r="G22" i="37"/>
  <c r="Z17" i="16"/>
  <c r="G22" i="28"/>
  <c r="Z18"/>
  <c r="J22" i="12"/>
  <c r="Z15" i="40"/>
  <c r="M22" i="37"/>
  <c r="Z7"/>
  <c r="U22"/>
  <c r="K22" i="35"/>
  <c r="J22" i="37"/>
  <c r="R22" i="16"/>
  <c r="O22" i="12"/>
  <c r="Z9"/>
  <c r="J22" i="40"/>
  <c r="J22" i="28"/>
  <c r="Z8" i="14"/>
  <c r="Z5" i="30"/>
  <c r="Z9"/>
  <c r="Z6" i="37"/>
  <c r="Q22" i="16"/>
  <c r="J22"/>
  <c r="N22"/>
  <c r="Q22" i="40"/>
  <c r="Z11" i="25"/>
  <c r="L22" i="35"/>
  <c r="R22" i="25"/>
  <c r="Z6" i="28"/>
  <c r="D22" i="16"/>
  <c r="I22" i="25"/>
  <c r="P22" i="35"/>
  <c r="Z14" i="30"/>
  <c r="Z13" i="35"/>
  <c r="Z11" i="12"/>
  <c r="G22" i="14"/>
  <c r="I22" i="37"/>
  <c r="R22" i="12"/>
  <c r="F22"/>
  <c r="H22" i="16"/>
  <c r="F22" i="14"/>
  <c r="M22" i="28"/>
  <c r="Z14" i="37"/>
  <c r="Y22"/>
  <c r="Z10" i="35"/>
  <c r="F22"/>
  <c r="N22" i="12"/>
  <c r="D22" i="35"/>
  <c r="J22" i="30"/>
  <c r="Z19" i="37"/>
  <c r="Z4" i="25"/>
  <c r="G22" i="40"/>
  <c r="Z9" i="16"/>
  <c r="M22" i="12"/>
  <c r="I22" i="40"/>
  <c r="H22" i="28"/>
  <c r="Z18" i="37"/>
  <c r="Z16"/>
  <c r="Z8"/>
  <c r="Z5"/>
  <c r="V22"/>
  <c r="T22"/>
  <c r="R22"/>
  <c r="O22"/>
  <c r="L22"/>
  <c r="Z12" i="30"/>
  <c r="X22"/>
  <c r="T22"/>
  <c r="R22"/>
  <c r="L22"/>
  <c r="Z19" i="14"/>
  <c r="Z17"/>
  <c r="Z14"/>
  <c r="Z13"/>
  <c r="Z12"/>
  <c r="Z10"/>
  <c r="Z7"/>
  <c r="Z5"/>
  <c r="X22"/>
  <c r="V22"/>
  <c r="T22"/>
  <c r="Q22"/>
  <c r="L22"/>
  <c r="Z18" i="35"/>
  <c r="Z12"/>
  <c r="Z7"/>
  <c r="Z6"/>
  <c r="W22"/>
  <c r="S22"/>
  <c r="N22"/>
  <c r="Z13" i="28"/>
  <c r="T22"/>
  <c r="O22"/>
  <c r="K22"/>
  <c r="Z19" i="12"/>
  <c r="Z17"/>
  <c r="Z15"/>
  <c r="X22"/>
  <c r="V22"/>
  <c r="Z18" i="16"/>
  <c r="Z12"/>
  <c r="Z8"/>
  <c r="Z6"/>
  <c r="X22"/>
  <c r="O22"/>
  <c r="K22"/>
  <c r="G22"/>
  <c r="Z17" i="40"/>
  <c r="Z9"/>
  <c r="Z7"/>
  <c r="S22"/>
  <c r="Z17" i="25"/>
  <c r="Z14"/>
  <c r="Z5"/>
  <c r="N22" i="28"/>
  <c r="G22" i="35"/>
  <c r="M22"/>
  <c r="Z16"/>
  <c r="Z6" i="14"/>
  <c r="Z9"/>
  <c r="G22" i="30"/>
  <c r="K22"/>
  <c r="Z10"/>
  <c r="Z17"/>
  <c r="H22" i="37"/>
  <c r="P22"/>
  <c r="F22" i="25"/>
  <c r="H22" i="35"/>
  <c r="J22" i="25"/>
  <c r="M22"/>
  <c r="I22" i="35"/>
  <c r="H22" i="14"/>
  <c r="P22"/>
  <c r="H22" i="30"/>
  <c r="P22"/>
  <c r="D22" i="37"/>
  <c r="K22"/>
  <c r="F22" i="16"/>
  <c r="Z18" i="40"/>
  <c r="Z11" i="28"/>
  <c r="Z5" i="12"/>
  <c r="D22" i="40"/>
  <c r="G22" i="25"/>
  <c r="K22"/>
  <c r="P22" i="40"/>
  <c r="Z4" i="14"/>
  <c r="D22" i="12"/>
  <c r="I22" i="14"/>
  <c r="I22" i="12"/>
  <c r="P22"/>
  <c r="G22"/>
  <c r="P22" i="25"/>
  <c r="Z17" i="37"/>
  <c r="Z15"/>
  <c r="Z13"/>
  <c r="Z12"/>
  <c r="Z9"/>
  <c r="W22"/>
  <c r="S22"/>
  <c r="Q22"/>
  <c r="N22"/>
  <c r="Z19" i="30"/>
  <c r="Z15"/>
  <c r="Z13"/>
  <c r="Z11"/>
  <c r="Z8"/>
  <c r="Z6"/>
  <c r="W22"/>
  <c r="U22"/>
  <c r="S22"/>
  <c r="Q22"/>
  <c r="N22"/>
  <c r="Z18" i="14"/>
  <c r="Z16"/>
  <c r="Z11"/>
  <c r="W22"/>
  <c r="U22"/>
  <c r="S22"/>
  <c r="O22"/>
  <c r="K22"/>
  <c r="Z17" i="35"/>
  <c r="Z15"/>
  <c r="Z14"/>
  <c r="Z11"/>
  <c r="Z8"/>
  <c r="X22"/>
  <c r="V22"/>
  <c r="T22"/>
  <c r="R22"/>
  <c r="Z19" i="28"/>
  <c r="Z14"/>
  <c r="Z12"/>
  <c r="Z9"/>
  <c r="U22"/>
  <c r="L22"/>
  <c r="I22"/>
  <c r="D22"/>
  <c r="Z12" i="12"/>
  <c r="Z7"/>
  <c r="U22"/>
  <c r="Z16" i="16"/>
  <c r="L22"/>
  <c r="Z4"/>
  <c r="Z12" i="40"/>
  <c r="Z6"/>
  <c r="T22"/>
  <c r="R22"/>
  <c r="L22"/>
  <c r="Z15" i="25"/>
  <c r="Z9"/>
  <c r="Z6"/>
  <c r="S22"/>
  <c r="Q22"/>
  <c r="H3" i="34"/>
  <c r="H3" i="36"/>
  <c r="H3" i="17"/>
  <c r="H3" i="33"/>
  <c r="H3" i="32"/>
  <c r="H3" i="15"/>
  <c r="I3" i="21"/>
  <c r="C49" i="2"/>
  <c r="G49"/>
  <c r="AF36"/>
  <c r="E36"/>
  <c r="Z20" i="37"/>
  <c r="D22" i="14"/>
  <c r="Z20" i="35"/>
  <c r="Z20" i="28"/>
  <c r="Z4" i="12"/>
  <c r="Z20" i="14"/>
  <c r="Z20" i="12"/>
  <c r="Z4" i="35"/>
  <c r="Z4" i="30"/>
  <c r="Z20" i="16"/>
  <c r="Z20" i="30"/>
  <c r="Z4" i="37"/>
  <c r="Z4" i="40"/>
  <c r="B23" i="2"/>
  <c r="B22"/>
  <c r="R11"/>
  <c r="Q8"/>
  <c r="G7"/>
  <c r="N11"/>
  <c r="P6"/>
  <c r="F7"/>
  <c r="V12"/>
  <c r="T9"/>
  <c r="J8"/>
  <c r="E5"/>
  <c r="S7"/>
  <c r="L11"/>
  <c r="G5"/>
  <c r="F11"/>
  <c r="G11"/>
  <c r="U7"/>
  <c r="P7"/>
  <c r="W7"/>
  <c r="V7"/>
  <c r="Q9"/>
  <c r="W5"/>
  <c r="W12"/>
  <c r="S5"/>
  <c r="O12"/>
  <c r="U9"/>
  <c r="G8"/>
  <c r="W10"/>
  <c r="H9"/>
  <c r="J5"/>
  <c r="R8"/>
  <c r="P5"/>
  <c r="V4"/>
  <c r="C11"/>
  <c r="N7"/>
  <c r="R7"/>
  <c r="R9"/>
  <c r="T6"/>
  <c r="F10"/>
  <c r="M6"/>
  <c r="V11"/>
  <c r="O7"/>
  <c r="B5"/>
  <c r="G9"/>
  <c r="F4"/>
  <c r="W8"/>
  <c r="D6"/>
  <c r="F5"/>
  <c r="J7"/>
  <c r="K11"/>
  <c r="N9"/>
  <c r="I4"/>
  <c r="H12"/>
  <c r="R10"/>
  <c r="M11"/>
  <c r="M5"/>
  <c r="H6"/>
  <c r="T5"/>
  <c r="L10"/>
  <c r="H4"/>
  <c r="U12"/>
  <c r="Q5"/>
  <c r="O10"/>
  <c r="E6"/>
  <c r="J11"/>
  <c r="I12"/>
  <c r="U4"/>
  <c r="E10"/>
  <c r="P9"/>
  <c r="M9"/>
  <c r="I5"/>
  <c r="B7"/>
  <c r="Q11"/>
  <c r="S12"/>
  <c r="E8"/>
  <c r="I10"/>
  <c r="P12"/>
  <c r="Q4"/>
  <c r="B10"/>
  <c r="D9"/>
  <c r="V8"/>
  <c r="K7"/>
  <c r="T12"/>
  <c r="R6"/>
  <c r="I7"/>
  <c r="P8"/>
  <c r="T10"/>
  <c r="G4"/>
  <c r="W9"/>
  <c r="S4"/>
  <c r="N8"/>
  <c r="Q10"/>
  <c r="F12"/>
  <c r="L6"/>
  <c r="S9"/>
  <c r="S11"/>
  <c r="V10"/>
  <c r="E4"/>
  <c r="D13"/>
  <c r="K6"/>
  <c r="M10"/>
  <c r="O4"/>
  <c r="R12"/>
  <c r="K10"/>
  <c r="G6"/>
  <c r="O9"/>
  <c r="E7"/>
  <c r="I9"/>
  <c r="N10"/>
  <c r="S8"/>
  <c r="G12"/>
  <c r="B8"/>
  <c r="H10"/>
  <c r="P10"/>
  <c r="D11"/>
  <c r="N12"/>
  <c r="F9"/>
  <c r="K4"/>
  <c r="S6"/>
  <c r="C4"/>
  <c r="D7"/>
  <c r="M8"/>
  <c r="F6"/>
  <c r="Q6"/>
  <c r="L4"/>
  <c r="K8"/>
  <c r="U8"/>
  <c r="H8"/>
  <c r="F8"/>
  <c r="N6"/>
  <c r="M12"/>
  <c r="I8"/>
  <c r="T7"/>
  <c r="T4"/>
  <c r="H11"/>
  <c r="P11"/>
  <c r="C6"/>
  <c r="M4"/>
  <c r="V9"/>
  <c r="E12"/>
  <c r="B6"/>
  <c r="D3"/>
  <c r="W11"/>
  <c r="B12"/>
  <c r="J10"/>
  <c r="V5"/>
  <c r="W4"/>
  <c r="C8"/>
  <c r="P4"/>
  <c r="R4"/>
  <c r="L9"/>
  <c r="W6"/>
  <c r="I11"/>
  <c r="D8"/>
  <c r="K9"/>
  <c r="J12"/>
  <c r="U11"/>
  <c r="B9"/>
  <c r="C10"/>
  <c r="V6"/>
  <c r="K12"/>
  <c r="U6"/>
  <c r="M7"/>
  <c r="O5"/>
  <c r="E9"/>
  <c r="C12"/>
  <c r="I6"/>
  <c r="O8"/>
  <c r="R5"/>
  <c r="L12"/>
  <c r="D12"/>
  <c r="D5"/>
  <c r="G10"/>
  <c r="Q12"/>
  <c r="U5"/>
  <c r="T11"/>
  <c r="N5"/>
  <c r="J4"/>
  <c r="D10"/>
  <c r="E11"/>
  <c r="J6"/>
  <c r="L5"/>
  <c r="O11"/>
  <c r="C5"/>
  <c r="K5"/>
  <c r="T8"/>
  <c r="S10"/>
  <c r="L7"/>
  <c r="C7"/>
  <c r="J9"/>
  <c r="H7"/>
  <c r="L8"/>
  <c r="U10"/>
  <c r="C9"/>
  <c r="N4"/>
  <c r="O6"/>
  <c r="Q7"/>
  <c r="H5"/>
  <c r="P22" i="9" l="1"/>
  <c r="M37" i="19"/>
  <c r="M2"/>
  <c r="M16"/>
  <c r="M32"/>
  <c r="M42"/>
  <c r="M12"/>
  <c r="M31"/>
  <c r="M9"/>
  <c r="M25"/>
  <c r="M6"/>
  <c r="M20"/>
  <c r="M29"/>
  <c r="M44"/>
  <c r="M15"/>
  <c r="M27"/>
  <c r="M22"/>
  <c r="M28"/>
  <c r="M11"/>
  <c r="M21"/>
  <c r="M24"/>
  <c r="M5"/>
  <c r="M4"/>
  <c r="M17"/>
  <c r="M19"/>
  <c r="M14"/>
  <c r="M36"/>
  <c r="M38"/>
  <c r="M18"/>
  <c r="M10"/>
  <c r="M34"/>
  <c r="M8"/>
  <c r="M33"/>
  <c r="M3"/>
  <c r="M41"/>
  <c r="M23"/>
  <c r="M40"/>
  <c r="M39"/>
  <c r="M13"/>
  <c r="M26"/>
  <c r="M35"/>
  <c r="M30"/>
  <c r="M7"/>
  <c r="M43"/>
  <c r="C29" i="2"/>
  <c r="D29" s="1"/>
  <c r="E29" s="1"/>
  <c r="F29" s="1"/>
  <c r="G29" s="1"/>
  <c r="H29" s="1"/>
  <c r="I29" s="1"/>
  <c r="J29" s="1"/>
  <c r="K29" s="1"/>
  <c r="L29" s="1"/>
  <c r="M29" s="1"/>
  <c r="N29" s="1"/>
  <c r="O29" s="1"/>
  <c r="P29" s="1"/>
  <c r="Q29" s="1"/>
  <c r="R29" s="1"/>
  <c r="S29" s="1"/>
  <c r="T29" s="1"/>
  <c r="U29" s="1"/>
  <c r="V29" s="1"/>
  <c r="W29" s="1"/>
  <c r="C24"/>
  <c r="D24" s="1"/>
  <c r="E24" s="1"/>
  <c r="F24" s="1"/>
  <c r="G24" s="1"/>
  <c r="H24" s="1"/>
  <c r="I24" s="1"/>
  <c r="J24" s="1"/>
  <c r="K24" s="1"/>
  <c r="L24" s="1"/>
  <c r="M24" s="1"/>
  <c r="N24" s="1"/>
  <c r="O24" s="1"/>
  <c r="P24" s="1"/>
  <c r="Q24" s="1"/>
  <c r="R24" s="1"/>
  <c r="S24" s="1"/>
  <c r="T24" s="1"/>
  <c r="U24" s="1"/>
  <c r="V24" s="1"/>
  <c r="W24" s="1"/>
  <c r="C27"/>
  <c r="D27" s="1"/>
  <c r="E27" s="1"/>
  <c r="F27" s="1"/>
  <c r="G27" s="1"/>
  <c r="H27" s="1"/>
  <c r="I27" s="1"/>
  <c r="J27" s="1"/>
  <c r="K27" s="1"/>
  <c r="L27" s="1"/>
  <c r="M27" s="1"/>
  <c r="N27" s="1"/>
  <c r="O27" s="1"/>
  <c r="P27" s="1"/>
  <c r="Q27" s="1"/>
  <c r="R27" s="1"/>
  <c r="S27" s="1"/>
  <c r="T27" s="1"/>
  <c r="U27" s="1"/>
  <c r="V27" s="1"/>
  <c r="W27" s="1"/>
  <c r="C30"/>
  <c r="D30" s="1"/>
  <c r="E30" s="1"/>
  <c r="F30" s="1"/>
  <c r="G30" s="1"/>
  <c r="H30" s="1"/>
  <c r="I30" s="1"/>
  <c r="J30" s="1"/>
  <c r="K30" s="1"/>
  <c r="L30" s="1"/>
  <c r="M30" s="1"/>
  <c r="N30" s="1"/>
  <c r="O30" s="1"/>
  <c r="P30" s="1"/>
  <c r="Q30" s="1"/>
  <c r="R30" s="1"/>
  <c r="S30" s="1"/>
  <c r="T30" s="1"/>
  <c r="U30" s="1"/>
  <c r="V30" s="1"/>
  <c r="W30" s="1"/>
  <c r="C25"/>
  <c r="D25" s="1"/>
  <c r="E25" s="1"/>
  <c r="F25" s="1"/>
  <c r="G25" s="1"/>
  <c r="H25" s="1"/>
  <c r="I25" s="1"/>
  <c r="J25" s="1"/>
  <c r="K25" s="1"/>
  <c r="L25" s="1"/>
  <c r="M25" s="1"/>
  <c r="N25" s="1"/>
  <c r="O25" s="1"/>
  <c r="P25" s="1"/>
  <c r="Q25" s="1"/>
  <c r="R25" s="1"/>
  <c r="S25" s="1"/>
  <c r="T25" s="1"/>
  <c r="U25" s="1"/>
  <c r="V25" s="1"/>
  <c r="W25" s="1"/>
  <c r="C31"/>
  <c r="D31" s="1"/>
  <c r="E31" s="1"/>
  <c r="F31" s="1"/>
  <c r="G31" s="1"/>
  <c r="H31" s="1"/>
  <c r="I31" s="1"/>
  <c r="J31" s="1"/>
  <c r="K31" s="1"/>
  <c r="L31" s="1"/>
  <c r="M31" s="1"/>
  <c r="N31" s="1"/>
  <c r="O31" s="1"/>
  <c r="P31" s="1"/>
  <c r="Q31" s="1"/>
  <c r="R31" s="1"/>
  <c r="S31" s="1"/>
  <c r="T31" s="1"/>
  <c r="U31" s="1"/>
  <c r="V31" s="1"/>
  <c r="W31" s="1"/>
  <c r="C26"/>
  <c r="D26" s="1"/>
  <c r="E26" s="1"/>
  <c r="F26" s="1"/>
  <c r="G26" s="1"/>
  <c r="H26" s="1"/>
  <c r="I26" s="1"/>
  <c r="J26" s="1"/>
  <c r="K26" s="1"/>
  <c r="L26" s="1"/>
  <c r="M26" s="1"/>
  <c r="N26" s="1"/>
  <c r="O26" s="1"/>
  <c r="P26" s="1"/>
  <c r="Q26" s="1"/>
  <c r="R26" s="1"/>
  <c r="S26" s="1"/>
  <c r="T26" s="1"/>
  <c r="U26" s="1"/>
  <c r="V26" s="1"/>
  <c r="W26" s="1"/>
  <c r="C28"/>
  <c r="D28" s="1"/>
  <c r="E28" s="1"/>
  <c r="F28" s="1"/>
  <c r="G28" s="1"/>
  <c r="H28" s="1"/>
  <c r="I28" s="1"/>
  <c r="J28" s="1"/>
  <c r="K28" s="1"/>
  <c r="L28" s="1"/>
  <c r="M28" s="1"/>
  <c r="N28" s="1"/>
  <c r="O28" s="1"/>
  <c r="P28" s="1"/>
  <c r="Q28" s="1"/>
  <c r="R28" s="1"/>
  <c r="S28" s="1"/>
  <c r="T28" s="1"/>
  <c r="U28" s="1"/>
  <c r="V28" s="1"/>
  <c r="W28" s="1"/>
  <c r="B29"/>
  <c r="B44" s="1"/>
  <c r="B31"/>
  <c r="B46" s="1"/>
  <c r="AB46" s="1"/>
  <c r="L22" i="9"/>
  <c r="N22"/>
  <c r="V22"/>
  <c r="T22"/>
  <c r="F22"/>
  <c r="J22"/>
  <c r="AB42" i="10"/>
  <c r="AB36"/>
  <c r="AB38"/>
  <c r="AB32"/>
  <c r="AB41"/>
  <c r="AB46"/>
  <c r="AB45"/>
  <c r="AB43"/>
  <c r="AB39"/>
  <c r="AB47"/>
  <c r="AA33"/>
  <c r="AA35"/>
  <c r="AA37"/>
  <c r="AA39"/>
  <c r="AA41"/>
  <c r="AA43"/>
  <c r="AA45"/>
  <c r="AA47"/>
  <c r="AA48"/>
  <c r="AA32"/>
  <c r="AA34"/>
  <c r="AA36"/>
  <c r="AA38"/>
  <c r="AA40"/>
  <c r="AA42"/>
  <c r="AA44"/>
  <c r="AA46"/>
  <c r="AB35"/>
  <c r="AB33"/>
  <c r="AB34"/>
  <c r="AB37"/>
  <c r="AB40"/>
  <c r="AB44"/>
  <c r="AB29"/>
  <c r="AB25"/>
  <c r="AB21"/>
  <c r="AB17"/>
  <c r="AB13"/>
  <c r="AB9"/>
  <c r="AB5"/>
  <c r="AB30"/>
  <c r="AB26"/>
  <c r="AB22"/>
  <c r="AB18"/>
  <c r="AB14"/>
  <c r="AB10"/>
  <c r="AB6"/>
  <c r="AB2"/>
  <c r="AB31"/>
  <c r="AB27"/>
  <c r="AB23"/>
  <c r="AB19"/>
  <c r="AB15"/>
  <c r="AB11"/>
  <c r="AB7"/>
  <c r="AB3"/>
  <c r="AB28"/>
  <c r="AB24"/>
  <c r="AB20"/>
  <c r="AB16"/>
  <c r="AB12"/>
  <c r="AB8"/>
  <c r="AB4"/>
  <c r="F22" i="21"/>
  <c r="G22"/>
  <c r="AA21" i="10"/>
  <c r="H22" i="9"/>
  <c r="B22"/>
  <c r="AA8" i="10"/>
  <c r="AA2"/>
  <c r="AA4"/>
  <c r="AA16"/>
  <c r="AA30"/>
  <c r="AA24"/>
  <c r="D22" i="21"/>
  <c r="I4"/>
  <c r="I6"/>
  <c r="I8"/>
  <c r="I10"/>
  <c r="I12"/>
  <c r="I14"/>
  <c r="I16"/>
  <c r="I18"/>
  <c r="I20"/>
  <c r="I5"/>
  <c r="I7"/>
  <c r="I9"/>
  <c r="I11"/>
  <c r="I13"/>
  <c r="I15"/>
  <c r="I17"/>
  <c r="I19"/>
  <c r="R22" i="9"/>
  <c r="H22" i="21"/>
  <c r="AA9" i="10"/>
  <c r="AA28"/>
  <c r="AA31"/>
  <c r="AA29"/>
  <c r="AA14"/>
  <c r="AA23"/>
  <c r="AA7"/>
  <c r="D22" i="9"/>
  <c r="AB30" i="2"/>
  <c r="B24"/>
  <c r="B39" s="1"/>
  <c r="AB39" s="1"/>
  <c r="B27"/>
  <c r="AB47"/>
  <c r="B25"/>
  <c r="B26"/>
  <c r="B28"/>
  <c r="AA15" i="10"/>
  <c r="AA5"/>
  <c r="AA12"/>
  <c r="AA22"/>
  <c r="AA18"/>
  <c r="AA26"/>
  <c r="AA6"/>
  <c r="AA3"/>
  <c r="AA25"/>
  <c r="AA13"/>
  <c r="AA27"/>
  <c r="AA17"/>
  <c r="AA20"/>
  <c r="AA19"/>
  <c r="AA11"/>
  <c r="AA10"/>
  <c r="C23" i="2"/>
  <c r="D23" s="1"/>
  <c r="E23" s="1"/>
  <c r="F23" s="1"/>
  <c r="G23" s="1"/>
  <c r="H23" s="1"/>
  <c r="I23" s="1"/>
  <c r="J23" s="1"/>
  <c r="K23" s="1"/>
  <c r="L23" s="1"/>
  <c r="M23" s="1"/>
  <c r="N23" s="1"/>
  <c r="O23" s="1"/>
  <c r="P23" s="1"/>
  <c r="Q23" s="1"/>
  <c r="R23" s="1"/>
  <c r="S23" s="1"/>
  <c r="T23" s="1"/>
  <c r="U23" s="1"/>
  <c r="V23" s="1"/>
  <c r="W23" s="1"/>
  <c r="Z22" i="37"/>
  <c r="Y22" i="30"/>
  <c r="Y22" i="25"/>
  <c r="Y22" i="40"/>
  <c r="Y22" i="21"/>
  <c r="Y22" i="16"/>
  <c r="Y22" i="35"/>
  <c r="Y22" i="28"/>
  <c r="Z4"/>
  <c r="Z22" s="1"/>
  <c r="Y22" i="12"/>
  <c r="Y22" i="14"/>
  <c r="Z22" i="40"/>
  <c r="Z22" i="30"/>
  <c r="Z22" i="12"/>
  <c r="Z22" i="16"/>
  <c r="Z22" i="35"/>
  <c r="Z22" i="25"/>
  <c r="Z22" i="14"/>
  <c r="H36" i="2"/>
  <c r="H21"/>
  <c r="AH21" s="1"/>
  <c r="I3" i="15"/>
  <c r="I3" i="34"/>
  <c r="I3" i="36"/>
  <c r="J3" i="21"/>
  <c r="I3" i="17"/>
  <c r="I3" i="33"/>
  <c r="I3" i="32"/>
  <c r="AE36" i="2"/>
  <c r="E49"/>
  <c r="B37"/>
  <c r="AB37" s="1"/>
  <c r="AB22"/>
  <c r="AB23"/>
  <c r="B38"/>
  <c r="AB38" s="1"/>
  <c r="AB29" l="1"/>
  <c r="AD22" i="10"/>
  <c r="AD25"/>
  <c r="B41" i="2"/>
  <c r="AB44"/>
  <c r="B43"/>
  <c r="AB43" s="1"/>
  <c r="AB27"/>
  <c r="B42"/>
  <c r="AB42" s="1"/>
  <c r="B40"/>
  <c r="AB40" s="1"/>
  <c r="AB41"/>
  <c r="AD30" i="10"/>
  <c r="AE21"/>
  <c r="AD2"/>
  <c r="AD3"/>
  <c r="AD5"/>
  <c r="AD7"/>
  <c r="AD9"/>
  <c r="AD11"/>
  <c r="AD15"/>
  <c r="AD17"/>
  <c r="AD4"/>
  <c r="AD6"/>
  <c r="AD8"/>
  <c r="AD10"/>
  <c r="AD12"/>
  <c r="AD14"/>
  <c r="AD16"/>
  <c r="AD18"/>
  <c r="AD13"/>
  <c r="AD29"/>
  <c r="AD21"/>
  <c r="AD26"/>
  <c r="AE22"/>
  <c r="AE9"/>
  <c r="AE6"/>
  <c r="AE17"/>
  <c r="AE29"/>
  <c r="AE14"/>
  <c r="AE26"/>
  <c r="AE41"/>
  <c r="AE43"/>
  <c r="AE36"/>
  <c r="AE33"/>
  <c r="AE38"/>
  <c r="AE44"/>
  <c r="AE40"/>
  <c r="AE37"/>
  <c r="AD33"/>
  <c r="AD35"/>
  <c r="AD37"/>
  <c r="AD39"/>
  <c r="AD41"/>
  <c r="AD43"/>
  <c r="AD45"/>
  <c r="AD47"/>
  <c r="AD48"/>
  <c r="AD32"/>
  <c r="AD34"/>
  <c r="AD36"/>
  <c r="AD38"/>
  <c r="AD40"/>
  <c r="AD42"/>
  <c r="AD44"/>
  <c r="AD46"/>
  <c r="AE48"/>
  <c r="AE13"/>
  <c r="AE5"/>
  <c r="AE25"/>
  <c r="AE18"/>
  <c r="AE10"/>
  <c r="AE30"/>
  <c r="AE39"/>
  <c r="AE47"/>
  <c r="AE32"/>
  <c r="AE34"/>
  <c r="AE46"/>
  <c r="AE42"/>
  <c r="AE45"/>
  <c r="AE35"/>
  <c r="AD31"/>
  <c r="AD27"/>
  <c r="AD23"/>
  <c r="AD19"/>
  <c r="AD28"/>
  <c r="AD24"/>
  <c r="AD20"/>
  <c r="AE2"/>
  <c r="AE15"/>
  <c r="AE11"/>
  <c r="AE7"/>
  <c r="AE3"/>
  <c r="AE31"/>
  <c r="AE27"/>
  <c r="AE23"/>
  <c r="AE19"/>
  <c r="AE16"/>
  <c r="AE12"/>
  <c r="AE8"/>
  <c r="AE4"/>
  <c r="AE28"/>
  <c r="AE24"/>
  <c r="AE20"/>
  <c r="AB28" i="2"/>
  <c r="AB32"/>
  <c r="AB26"/>
  <c r="AB24"/>
  <c r="J5" i="21"/>
  <c r="J7"/>
  <c r="J9"/>
  <c r="J11"/>
  <c r="J13"/>
  <c r="J15"/>
  <c r="J17"/>
  <c r="J19"/>
  <c r="J4"/>
  <c r="J6"/>
  <c r="J8"/>
  <c r="J10"/>
  <c r="J12"/>
  <c r="J14"/>
  <c r="J16"/>
  <c r="J18"/>
  <c r="J20"/>
  <c r="I22"/>
  <c r="AB45" i="2"/>
  <c r="AB31"/>
  <c r="AB25"/>
  <c r="J3" i="36"/>
  <c r="J3" i="17"/>
  <c r="J3" i="32"/>
  <c r="J3" i="15"/>
  <c r="J3" i="34"/>
  <c r="K3" i="21"/>
  <c r="J3" i="33"/>
  <c r="H49" i="2"/>
  <c r="AH36"/>
  <c r="I21"/>
  <c r="AI21" s="1"/>
  <c r="I36"/>
  <c r="AF18" i="10" l="1"/>
  <c r="K4" i="21"/>
  <c r="K6"/>
  <c r="K8"/>
  <c r="K10"/>
  <c r="K12"/>
  <c r="K14"/>
  <c r="K16"/>
  <c r="K18"/>
  <c r="K20"/>
  <c r="K5"/>
  <c r="K7"/>
  <c r="K9"/>
  <c r="K11"/>
  <c r="K13"/>
  <c r="K15"/>
  <c r="K17"/>
  <c r="K19"/>
  <c r="J22"/>
  <c r="K3" i="36"/>
  <c r="K3" i="33"/>
  <c r="K3" i="17"/>
  <c r="K3" i="15"/>
  <c r="K3" i="34"/>
  <c r="K3" i="32"/>
  <c r="L3" i="21"/>
  <c r="J36" i="2"/>
  <c r="J21"/>
  <c r="AJ21" s="1"/>
  <c r="I49"/>
  <c r="AI36"/>
  <c r="L5" i="21" l="1"/>
  <c r="L7"/>
  <c r="L9"/>
  <c r="L11"/>
  <c r="L13"/>
  <c r="L15"/>
  <c r="L17"/>
  <c r="L19"/>
  <c r="L4"/>
  <c r="L6"/>
  <c r="L8"/>
  <c r="L10"/>
  <c r="L12"/>
  <c r="L14"/>
  <c r="L16"/>
  <c r="L18"/>
  <c r="L20"/>
  <c r="K22"/>
  <c r="AJ36" i="2"/>
  <c r="J49"/>
  <c r="L3" i="36"/>
  <c r="L3" i="33"/>
  <c r="L3" i="32"/>
  <c r="L3" i="34"/>
  <c r="L3" i="17"/>
  <c r="M3" i="21"/>
  <c r="L3" i="15"/>
  <c r="K36" i="2"/>
  <c r="K21"/>
  <c r="AK21" s="1"/>
  <c r="M4" i="21" l="1"/>
  <c r="M6"/>
  <c r="M8"/>
  <c r="M10"/>
  <c r="M12"/>
  <c r="M14"/>
  <c r="M16"/>
  <c r="M18"/>
  <c r="M20"/>
  <c r="M5"/>
  <c r="M7"/>
  <c r="M9"/>
  <c r="M11"/>
  <c r="M13"/>
  <c r="M15"/>
  <c r="M17"/>
  <c r="M19"/>
  <c r="L22"/>
  <c r="AK36" i="2"/>
  <c r="K49"/>
  <c r="M3" i="17"/>
  <c r="M3" i="34"/>
  <c r="N3" i="21"/>
  <c r="M3" i="33"/>
  <c r="M3" i="32"/>
  <c r="M3" i="15"/>
  <c r="M3" i="36"/>
  <c r="L36" i="2"/>
  <c r="L21"/>
  <c r="AL21" s="1"/>
  <c r="M22" i="21" l="1"/>
  <c r="N5"/>
  <c r="N7"/>
  <c r="N9"/>
  <c r="N11"/>
  <c r="N13"/>
  <c r="N15"/>
  <c r="N17"/>
  <c r="N19"/>
  <c r="N4"/>
  <c r="N6"/>
  <c r="N8"/>
  <c r="N10"/>
  <c r="N12"/>
  <c r="N14"/>
  <c r="N16"/>
  <c r="N18"/>
  <c r="N20"/>
  <c r="L49" i="2"/>
  <c r="AL36"/>
  <c r="N3" i="36"/>
  <c r="N3" i="34"/>
  <c r="O3" i="21"/>
  <c r="N3" i="32"/>
  <c r="N3" i="15"/>
  <c r="N3" i="33"/>
  <c r="N3" i="17"/>
  <c r="M36" i="2"/>
  <c r="M21"/>
  <c r="AM21" s="1"/>
  <c r="O4" i="21" l="1"/>
  <c r="O6"/>
  <c r="O8"/>
  <c r="O10"/>
  <c r="O12"/>
  <c r="O14"/>
  <c r="O16"/>
  <c r="O18"/>
  <c r="O20"/>
  <c r="O5"/>
  <c r="O7"/>
  <c r="O9"/>
  <c r="O11"/>
  <c r="O13"/>
  <c r="O15"/>
  <c r="O17"/>
  <c r="O19"/>
  <c r="N22"/>
  <c r="M49" i="2"/>
  <c r="AM36"/>
  <c r="O3" i="33"/>
  <c r="O3" i="32"/>
  <c r="P3" i="21"/>
  <c r="O3" i="15"/>
  <c r="O3" i="17"/>
  <c r="O3" i="36"/>
  <c r="O3" i="34"/>
  <c r="N36" i="2"/>
  <c r="N21"/>
  <c r="AN21" s="1"/>
  <c r="P5" i="21" l="1"/>
  <c r="P7"/>
  <c r="P9"/>
  <c r="P11"/>
  <c r="P13"/>
  <c r="P15"/>
  <c r="P17"/>
  <c r="P19"/>
  <c r="P4"/>
  <c r="P6"/>
  <c r="P8"/>
  <c r="P10"/>
  <c r="P12"/>
  <c r="P14"/>
  <c r="P16"/>
  <c r="P18"/>
  <c r="P20"/>
  <c r="O22"/>
  <c r="AN36" i="2"/>
  <c r="N49"/>
  <c r="O21"/>
  <c r="AO21" s="1"/>
  <c r="O36"/>
  <c r="P3" i="34"/>
  <c r="P3" i="17"/>
  <c r="Q3" i="21"/>
  <c r="P3" i="15"/>
  <c r="P3" i="36"/>
  <c r="P3" i="33"/>
  <c r="P3" i="32"/>
  <c r="G13" i="19"/>
  <c r="C23"/>
  <c r="E29"/>
  <c r="B16"/>
  <c r="G32"/>
  <c r="B39"/>
  <c r="F29"/>
  <c r="B22"/>
  <c r="B25"/>
  <c r="F26"/>
  <c r="F6"/>
  <c r="E13" i="2"/>
  <c r="E16" i="19"/>
  <c r="C31"/>
  <c r="L16"/>
  <c r="D23"/>
  <c r="H33"/>
  <c r="D10"/>
  <c r="X6" i="2"/>
  <c r="J41" i="19"/>
  <c r="M3" i="2"/>
  <c r="X11"/>
  <c r="E30" i="19"/>
  <c r="E44"/>
  <c r="H41"/>
  <c r="C16"/>
  <c r="F39"/>
  <c r="K11"/>
  <c r="C25"/>
  <c r="I26"/>
  <c r="K13" i="2"/>
  <c r="H31" i="19"/>
  <c r="G26"/>
  <c r="K16"/>
  <c r="I33"/>
  <c r="E35"/>
  <c r="L9"/>
  <c r="H40"/>
  <c r="C34"/>
  <c r="F23"/>
  <c r="D15"/>
  <c r="L27"/>
  <c r="J16"/>
  <c r="K41"/>
  <c r="H35"/>
  <c r="H14"/>
  <c r="D33"/>
  <c r="I16"/>
  <c r="D9"/>
  <c r="B12"/>
  <c r="K39"/>
  <c r="E28"/>
  <c r="G28"/>
  <c r="L33"/>
  <c r="F44"/>
  <c r="K7"/>
  <c r="K32"/>
  <c r="K43"/>
  <c r="E21"/>
  <c r="K26"/>
  <c r="F38"/>
  <c r="E3" i="2"/>
  <c r="G22" i="19"/>
  <c r="L32"/>
  <c r="K5"/>
  <c r="L30"/>
  <c r="L35"/>
  <c r="J18"/>
  <c r="F37"/>
  <c r="J17"/>
  <c r="D36"/>
  <c r="E37"/>
  <c r="L8"/>
  <c r="C18"/>
  <c r="X5" i="2"/>
  <c r="G42" i="19"/>
  <c r="H43"/>
  <c r="H26"/>
  <c r="C42"/>
  <c r="C13" i="2"/>
  <c r="C13" i="19"/>
  <c r="B21"/>
  <c r="J43"/>
  <c r="E33"/>
  <c r="B37"/>
  <c r="L3" i="2"/>
  <c r="I6" i="19"/>
  <c r="E23"/>
  <c r="J39"/>
  <c r="E40"/>
  <c r="L42"/>
  <c r="H42"/>
  <c r="F35"/>
  <c r="I13" i="2"/>
  <c r="F41" i="19"/>
  <c r="D21"/>
  <c r="E31"/>
  <c r="C43"/>
  <c r="I13"/>
  <c r="J3" i="2"/>
  <c r="G25" i="19"/>
  <c r="B44"/>
  <c r="B36"/>
  <c r="E12"/>
  <c r="H3" i="2"/>
  <c r="E25" i="19"/>
  <c r="C15"/>
  <c r="J44"/>
  <c r="G41"/>
  <c r="E43"/>
  <c r="H8"/>
  <c r="L28"/>
  <c r="B28"/>
  <c r="J32"/>
  <c r="B42"/>
  <c r="F13"/>
  <c r="K10"/>
  <c r="F3" i="2"/>
  <c r="L41" i="19"/>
  <c r="L11"/>
  <c r="G21"/>
  <c r="F28"/>
  <c r="I34"/>
  <c r="G37"/>
  <c r="F21"/>
  <c r="H23"/>
  <c r="D34"/>
  <c r="G39"/>
  <c r="B33"/>
  <c r="I17"/>
  <c r="H16"/>
  <c r="E18"/>
  <c r="L43"/>
  <c r="B38"/>
  <c r="E20"/>
  <c r="G43"/>
  <c r="H9"/>
  <c r="B40"/>
  <c r="D43"/>
  <c r="C33"/>
  <c r="H12"/>
  <c r="D28"/>
  <c r="J40"/>
  <c r="I41"/>
  <c r="C39"/>
  <c r="D31"/>
  <c r="F30"/>
  <c r="K13"/>
  <c r="E7"/>
  <c r="L26"/>
  <c r="C36"/>
  <c r="L44"/>
  <c r="I10"/>
  <c r="X10" i="2"/>
  <c r="B23" i="19"/>
  <c r="J34"/>
  <c r="G13" i="2"/>
  <c r="J6" i="19"/>
  <c r="L13" i="2"/>
  <c r="J9" i="19"/>
  <c r="J10"/>
  <c r="F31"/>
  <c r="I35"/>
  <c r="C29"/>
  <c r="G16"/>
  <c r="K18"/>
  <c r="D39"/>
  <c r="G36"/>
  <c r="I20"/>
  <c r="D29"/>
  <c r="J15"/>
  <c r="H44"/>
  <c r="B34"/>
  <c r="B35"/>
  <c r="K44"/>
  <c r="J21"/>
  <c r="E38"/>
  <c r="X3" i="2"/>
  <c r="B13" i="19"/>
  <c r="C28"/>
  <c r="F40"/>
  <c r="F13" i="2"/>
  <c r="I24" i="19"/>
  <c r="C26"/>
  <c r="H11"/>
  <c r="E36"/>
  <c r="C22"/>
  <c r="C21"/>
  <c r="K3" i="2"/>
  <c r="G29" i="19"/>
  <c r="H18"/>
  <c r="D13"/>
  <c r="F24"/>
  <c r="C3" i="2"/>
  <c r="I30" i="19"/>
  <c r="B30"/>
  <c r="I40"/>
  <c r="E42"/>
  <c r="J26"/>
  <c r="G15"/>
  <c r="I3" i="2"/>
  <c r="D35" i="19"/>
  <c r="D22"/>
  <c r="H15"/>
  <c r="I43"/>
  <c r="F11"/>
  <c r="X7" i="2"/>
  <c r="L38" i="19"/>
  <c r="F18"/>
  <c r="F22"/>
  <c r="G38"/>
  <c r="J3"/>
  <c r="I42"/>
  <c r="K12"/>
  <c r="K20"/>
  <c r="X8" i="2"/>
  <c r="J36" i="19"/>
  <c r="J37"/>
  <c r="H13" i="2"/>
  <c r="G19" i="19"/>
  <c r="D44"/>
  <c r="I27"/>
  <c r="H38"/>
  <c r="I9"/>
  <c r="J38"/>
  <c r="D16"/>
  <c r="B26"/>
  <c r="I21"/>
  <c r="D37"/>
  <c r="K27"/>
  <c r="J23"/>
  <c r="C9"/>
  <c r="E22"/>
  <c r="K14"/>
  <c r="J13"/>
  <c r="C30"/>
  <c r="I15"/>
  <c r="F15"/>
  <c r="C44"/>
  <c r="D38"/>
  <c r="C12"/>
  <c r="K15"/>
  <c r="X13" i="2"/>
  <c r="G23" i="19"/>
  <c r="G9"/>
  <c r="K2"/>
  <c r="F43"/>
  <c r="H29"/>
  <c r="K25"/>
  <c r="H7"/>
  <c r="K22"/>
  <c r="E9"/>
  <c r="B43"/>
  <c r="J27"/>
  <c r="K8"/>
  <c r="J28"/>
  <c r="H39"/>
  <c r="K21"/>
  <c r="I44"/>
  <c r="F32"/>
  <c r="E39"/>
  <c r="E15"/>
  <c r="E34"/>
  <c r="F34"/>
  <c r="F42"/>
  <c r="K6"/>
  <c r="K38"/>
  <c r="X12" i="2"/>
  <c r="L19" i="19"/>
  <c r="E41"/>
  <c r="E26"/>
  <c r="H28"/>
  <c r="H22"/>
  <c r="J31"/>
  <c r="D18"/>
  <c r="D26"/>
  <c r="H37"/>
  <c r="J20"/>
  <c r="I18"/>
  <c r="G44"/>
  <c r="J29"/>
  <c r="E13"/>
  <c r="D41"/>
  <c r="B41"/>
  <c r="K31"/>
  <c r="I11"/>
  <c r="J13" i="2"/>
  <c r="I31" i="19"/>
  <c r="L6"/>
  <c r="D42"/>
  <c r="H13"/>
  <c r="G20"/>
  <c r="L24"/>
  <c r="G12"/>
  <c r="L18"/>
  <c r="G18"/>
  <c r="H21"/>
  <c r="X9" i="2"/>
  <c r="C24" i="19"/>
  <c r="J7"/>
  <c r="G40"/>
  <c r="F7"/>
  <c r="D4"/>
  <c r="B18"/>
  <c r="I38"/>
  <c r="G3" i="2"/>
  <c r="B15" i="19"/>
  <c r="C41"/>
  <c r="F16"/>
  <c r="C40"/>
  <c r="K23"/>
  <c r="D40"/>
  <c r="J22"/>
  <c r="H32"/>
  <c r="K29"/>
  <c r="K36"/>
  <c r="G35"/>
  <c r="K37"/>
  <c r="L13"/>
  <c r="X4" i="2"/>
  <c r="I28" i="19"/>
  <c r="C37"/>
  <c r="I36"/>
  <c r="K34"/>
  <c r="M13" i="2"/>
  <c r="J42" i="19"/>
  <c r="C35"/>
  <c r="N3" i="2"/>
  <c r="N13"/>
  <c r="X23" l="1"/>
  <c r="Y4"/>
  <c r="D51" i="19"/>
  <c r="D45" s="1"/>
  <c r="D46"/>
  <c r="Y9" i="2"/>
  <c r="X28"/>
  <c r="L46" i="19"/>
  <c r="L51"/>
  <c r="L45" s="1"/>
  <c r="X31" i="2"/>
  <c r="Y12"/>
  <c r="H46" i="19"/>
  <c r="H51"/>
  <c r="H45" s="1"/>
  <c r="K46"/>
  <c r="K51"/>
  <c r="K45" s="1"/>
  <c r="G46"/>
  <c r="G51"/>
  <c r="G45" s="1"/>
  <c r="C51"/>
  <c r="C45" s="1"/>
  <c r="C46"/>
  <c r="X27" i="2"/>
  <c r="Y8"/>
  <c r="J51" i="19"/>
  <c r="J45" s="1"/>
  <c r="J46"/>
  <c r="Y7" i="2"/>
  <c r="X26"/>
  <c r="C22"/>
  <c r="D22" s="1"/>
  <c r="E22" s="1"/>
  <c r="F22" s="1"/>
  <c r="X29"/>
  <c r="Y10"/>
  <c r="E51" i="19"/>
  <c r="E45" s="1"/>
  <c r="E46"/>
  <c r="I51"/>
  <c r="I45" s="1"/>
  <c r="I46"/>
  <c r="C32" i="2"/>
  <c r="D32" s="1"/>
  <c r="E32" s="1"/>
  <c r="F32" s="1"/>
  <c r="G32" s="1"/>
  <c r="H32" s="1"/>
  <c r="I32" s="1"/>
  <c r="J32" s="1"/>
  <c r="K32" s="1"/>
  <c r="L32" s="1"/>
  <c r="M32" s="1"/>
  <c r="N32" s="1"/>
  <c r="Y5"/>
  <c r="X24"/>
  <c r="B46" i="19"/>
  <c r="B51"/>
  <c r="B45" s="1"/>
  <c r="X30" i="2"/>
  <c r="Y11"/>
  <c r="X25"/>
  <c r="Y6"/>
  <c r="F51" i="19"/>
  <c r="F45" s="1"/>
  <c r="F46"/>
  <c r="F47" s="1"/>
  <c r="F48" s="1"/>
  <c r="AC7" i="2" s="1"/>
  <c r="Y41" s="1"/>
  <c r="AD33"/>
  <c r="AD25" s="1"/>
  <c r="H47" i="19"/>
  <c r="H48" s="1"/>
  <c r="AC9" i="2" s="1"/>
  <c r="J43" s="1"/>
  <c r="I47" i="19"/>
  <c r="I48" s="1"/>
  <c r="AC10" i="2" s="1"/>
  <c r="C44" s="1"/>
  <c r="G22"/>
  <c r="AF33"/>
  <c r="AF22" s="1"/>
  <c r="Q4" i="21"/>
  <c r="Q6"/>
  <c r="Q8"/>
  <c r="Q10"/>
  <c r="Q12"/>
  <c r="Q14"/>
  <c r="Q16"/>
  <c r="Q18"/>
  <c r="Q20"/>
  <c r="Q5"/>
  <c r="Q7"/>
  <c r="Q9"/>
  <c r="Q11"/>
  <c r="Q13"/>
  <c r="Q15"/>
  <c r="Q17"/>
  <c r="Q19"/>
  <c r="P22"/>
  <c r="P21" i="2"/>
  <c r="AP21" s="1"/>
  <c r="P36"/>
  <c r="Q3" i="17"/>
  <c r="Q3" i="36"/>
  <c r="Q3" i="34"/>
  <c r="R3" i="21"/>
  <c r="Q3" i="33"/>
  <c r="Q3" i="32"/>
  <c r="Q3" i="15"/>
  <c r="O49" i="2"/>
  <c r="AO36"/>
  <c r="O13"/>
  <c r="O3"/>
  <c r="C47" i="19" l="1"/>
  <c r="C48" s="1"/>
  <c r="AC4" i="2" s="1"/>
  <c r="M38" s="1"/>
  <c r="K47" i="19"/>
  <c r="K48" s="1"/>
  <c r="AC12" i="2" s="1"/>
  <c r="V46" s="1"/>
  <c r="D47" i="19"/>
  <c r="D48" s="1"/>
  <c r="AC5" i="2" s="1"/>
  <c r="L39" s="1"/>
  <c r="J47" i="19"/>
  <c r="J48" s="1"/>
  <c r="AC11" i="2" s="1"/>
  <c r="L45" s="1"/>
  <c r="E47" i="19"/>
  <c r="E48" s="1"/>
  <c r="AC6" i="2" s="1"/>
  <c r="V40" s="1"/>
  <c r="C45"/>
  <c r="M45"/>
  <c r="G47" i="19"/>
  <c r="G48" s="1"/>
  <c r="AC8" i="2" s="1"/>
  <c r="AG33"/>
  <c r="AG22" s="1"/>
  <c r="B47" i="19"/>
  <c r="B48" s="1"/>
  <c r="AC3" i="2" s="1"/>
  <c r="E37" s="1"/>
  <c r="L47" i="19"/>
  <c r="L48" s="1"/>
  <c r="AC13" i="2" s="1"/>
  <c r="M47" s="1"/>
  <c r="AE33"/>
  <c r="AE31" s="1"/>
  <c r="AC33"/>
  <c r="AC25" s="1"/>
  <c r="N41"/>
  <c r="D39"/>
  <c r="T41"/>
  <c r="R42"/>
  <c r="T39"/>
  <c r="AD7"/>
  <c r="X40"/>
  <c r="T40"/>
  <c r="W40"/>
  <c r="O45"/>
  <c r="I41"/>
  <c r="W41"/>
  <c r="AD22"/>
  <c r="N42"/>
  <c r="C41"/>
  <c r="V39"/>
  <c r="K42"/>
  <c r="Y42"/>
  <c r="X42"/>
  <c r="I42"/>
  <c r="AD32"/>
  <c r="H22"/>
  <c r="H37" s="1"/>
  <c r="J45"/>
  <c r="T45"/>
  <c r="O40"/>
  <c r="E47"/>
  <c r="N40"/>
  <c r="F40"/>
  <c r="G40"/>
  <c r="D40"/>
  <c r="AD3"/>
  <c r="F37"/>
  <c r="AC32"/>
  <c r="AC26"/>
  <c r="J47"/>
  <c r="AE23"/>
  <c r="Y40"/>
  <c r="J40"/>
  <c r="C40"/>
  <c r="M40"/>
  <c r="I40"/>
  <c r="AD6"/>
  <c r="K41"/>
  <c r="R41"/>
  <c r="E41"/>
  <c r="F41"/>
  <c r="AD8"/>
  <c r="P39"/>
  <c r="E42"/>
  <c r="L42"/>
  <c r="H43"/>
  <c r="R39"/>
  <c r="U46"/>
  <c r="L46"/>
  <c r="T42"/>
  <c r="P42"/>
  <c r="AD4"/>
  <c r="P38"/>
  <c r="W45"/>
  <c r="I45"/>
  <c r="G45"/>
  <c r="K47"/>
  <c r="D45"/>
  <c r="AD13"/>
  <c r="AE32"/>
  <c r="V45"/>
  <c r="R40"/>
  <c r="S40"/>
  <c r="L40"/>
  <c r="C37"/>
  <c r="Q40"/>
  <c r="U40"/>
  <c r="P40"/>
  <c r="K40"/>
  <c r="E40"/>
  <c r="H40"/>
  <c r="AF28"/>
  <c r="AC30"/>
  <c r="S45"/>
  <c r="U45"/>
  <c r="Q45"/>
  <c r="R45"/>
  <c r="K45"/>
  <c r="Y45"/>
  <c r="F45"/>
  <c r="H45"/>
  <c r="C43"/>
  <c r="AE27"/>
  <c r="N45"/>
  <c r="AD11"/>
  <c r="D44"/>
  <c r="P45"/>
  <c r="E45"/>
  <c r="X45"/>
  <c r="S44"/>
  <c r="AF32"/>
  <c r="P41"/>
  <c r="O41"/>
  <c r="U41"/>
  <c r="L41"/>
  <c r="S41"/>
  <c r="X41"/>
  <c r="V41"/>
  <c r="AD23"/>
  <c r="V42"/>
  <c r="M39"/>
  <c r="E39"/>
  <c r="AD26"/>
  <c r="Y39"/>
  <c r="G42"/>
  <c r="S42"/>
  <c r="Q42"/>
  <c r="AD24"/>
  <c r="G43"/>
  <c r="I43"/>
  <c r="R43"/>
  <c r="D46"/>
  <c r="I39"/>
  <c r="N46"/>
  <c r="J46"/>
  <c r="O38"/>
  <c r="V38"/>
  <c r="O46"/>
  <c r="Q43"/>
  <c r="M41"/>
  <c r="D42"/>
  <c r="O44"/>
  <c r="H42"/>
  <c r="W42"/>
  <c r="N43"/>
  <c r="H41"/>
  <c r="O42"/>
  <c r="U42"/>
  <c r="Q41"/>
  <c r="G41"/>
  <c r="F42"/>
  <c r="C42"/>
  <c r="G39"/>
  <c r="J41"/>
  <c r="D41"/>
  <c r="N47"/>
  <c r="G37"/>
  <c r="AC28"/>
  <c r="AC22"/>
  <c r="AC27"/>
  <c r="AC29"/>
  <c r="H47"/>
  <c r="AC31"/>
  <c r="AC24"/>
  <c r="L47"/>
  <c r="F47"/>
  <c r="I47"/>
  <c r="AE30"/>
  <c r="AC23"/>
  <c r="L43"/>
  <c r="AE22"/>
  <c r="AE28"/>
  <c r="AE24"/>
  <c r="AE29"/>
  <c r="AE26"/>
  <c r="AE25"/>
  <c r="AF24"/>
  <c r="AD29"/>
  <c r="O39"/>
  <c r="S39"/>
  <c r="H39"/>
  <c r="W39"/>
  <c r="F39"/>
  <c r="AD30"/>
  <c r="AD27"/>
  <c r="V43"/>
  <c r="H38"/>
  <c r="X43"/>
  <c r="U43"/>
  <c r="M43"/>
  <c r="G38"/>
  <c r="R46"/>
  <c r="C39"/>
  <c r="AD5"/>
  <c r="F46"/>
  <c r="H46"/>
  <c r="J39"/>
  <c r="Q39"/>
  <c r="K39"/>
  <c r="T38"/>
  <c r="Y38"/>
  <c r="W38"/>
  <c r="E38"/>
  <c r="T43"/>
  <c r="E46"/>
  <c r="U44"/>
  <c r="U39"/>
  <c r="N39"/>
  <c r="AD28"/>
  <c r="AD31"/>
  <c r="X39"/>
  <c r="E44"/>
  <c r="M44"/>
  <c r="K44"/>
  <c r="Y43"/>
  <c r="M46"/>
  <c r="I46"/>
  <c r="Q46"/>
  <c r="K46"/>
  <c r="X46"/>
  <c r="Y46"/>
  <c r="T46"/>
  <c r="S46"/>
  <c r="P46"/>
  <c r="W46"/>
  <c r="AD12"/>
  <c r="C46"/>
  <c r="G46"/>
  <c r="C47"/>
  <c r="Y47"/>
  <c r="G47"/>
  <c r="D47"/>
  <c r="F44"/>
  <c r="V44"/>
  <c r="N44"/>
  <c r="S43"/>
  <c r="H44"/>
  <c r="Y44"/>
  <c r="K43"/>
  <c r="J38"/>
  <c r="C38"/>
  <c r="F38"/>
  <c r="N38"/>
  <c r="Q38"/>
  <c r="K38"/>
  <c r="R38"/>
  <c r="U38"/>
  <c r="D38"/>
  <c r="S38"/>
  <c r="L38"/>
  <c r="I38"/>
  <c r="X38"/>
  <c r="D43"/>
  <c r="E43"/>
  <c r="F43"/>
  <c r="O43"/>
  <c r="P43"/>
  <c r="W43"/>
  <c r="AD9"/>
  <c r="Y37"/>
  <c r="D37"/>
  <c r="AF26"/>
  <c r="AF23"/>
  <c r="Q44"/>
  <c r="T44"/>
  <c r="W44"/>
  <c r="X44"/>
  <c r="P44"/>
  <c r="AD10"/>
  <c r="L44"/>
  <c r="G44"/>
  <c r="I44"/>
  <c r="R44"/>
  <c r="J44"/>
  <c r="AF31"/>
  <c r="AF30"/>
  <c r="AF29"/>
  <c r="AF27"/>
  <c r="AF25"/>
  <c r="AG27"/>
  <c r="AG23"/>
  <c r="AG24"/>
  <c r="AG29"/>
  <c r="AG26"/>
  <c r="AG25"/>
  <c r="AG28"/>
  <c r="AG32"/>
  <c r="AG31"/>
  <c r="AG30"/>
  <c r="O32"/>
  <c r="O47" s="1"/>
  <c r="R5" i="21"/>
  <c r="R7"/>
  <c r="R9"/>
  <c r="R11"/>
  <c r="R13"/>
  <c r="R15"/>
  <c r="R17"/>
  <c r="R19"/>
  <c r="R4"/>
  <c r="R6"/>
  <c r="R8"/>
  <c r="R10"/>
  <c r="R12"/>
  <c r="R14"/>
  <c r="R16"/>
  <c r="R18"/>
  <c r="R20"/>
  <c r="Q22"/>
  <c r="R3" i="34"/>
  <c r="R3" i="17"/>
  <c r="S3" i="21"/>
  <c r="R3" i="15"/>
  <c r="R3" i="36"/>
  <c r="R3" i="33"/>
  <c r="R3" i="32"/>
  <c r="Q21" i="2"/>
  <c r="AQ21" s="1"/>
  <c r="Q36"/>
  <c r="P49"/>
  <c r="AP36"/>
  <c r="P13"/>
  <c r="P3"/>
  <c r="M42" l="1"/>
  <c r="J42"/>
  <c r="I22"/>
  <c r="J22" s="1"/>
  <c r="K22" s="1"/>
  <c r="L22" s="1"/>
  <c r="M22" s="1"/>
  <c r="N22" s="1"/>
  <c r="N37" s="1"/>
  <c r="AH33"/>
  <c r="AH22" s="1"/>
  <c r="AG48"/>
  <c r="AG37" s="1"/>
  <c r="AD48"/>
  <c r="AD44" s="1"/>
  <c r="AF48"/>
  <c r="AF37" s="1"/>
  <c r="AE48"/>
  <c r="AE44" s="1"/>
  <c r="AC48"/>
  <c r="AC47" s="1"/>
  <c r="AH48"/>
  <c r="P32"/>
  <c r="P47" s="1"/>
  <c r="R22" i="21"/>
  <c r="S4"/>
  <c r="S6"/>
  <c r="S8"/>
  <c r="S10"/>
  <c r="S12"/>
  <c r="S14"/>
  <c r="S16"/>
  <c r="S18"/>
  <c r="S20"/>
  <c r="S5"/>
  <c r="S7"/>
  <c r="S9"/>
  <c r="S11"/>
  <c r="S13"/>
  <c r="S15"/>
  <c r="S17"/>
  <c r="S19"/>
  <c r="S3" i="15"/>
  <c r="S3" i="34"/>
  <c r="S3" i="32"/>
  <c r="T3" i="21"/>
  <c r="S3" i="36"/>
  <c r="S3" i="33"/>
  <c r="S3" i="17"/>
  <c r="Q49" i="2"/>
  <c r="AQ36"/>
  <c r="R21"/>
  <c r="AR21" s="1"/>
  <c r="R36"/>
  <c r="Q3"/>
  <c r="Q13"/>
  <c r="J37" l="1"/>
  <c r="AJ48" s="1"/>
  <c r="AH28"/>
  <c r="AG44"/>
  <c r="L37"/>
  <c r="AL48" s="1"/>
  <c r="AL46" s="1"/>
  <c r="AH23"/>
  <c r="AH24"/>
  <c r="AH29"/>
  <c r="AH31"/>
  <c r="I37"/>
  <c r="AI48" s="1"/>
  <c r="AI37" s="1"/>
  <c r="K37"/>
  <c r="AK48" s="1"/>
  <c r="AM33"/>
  <c r="AM31" s="1"/>
  <c r="AN33"/>
  <c r="AN32" s="1"/>
  <c r="AI33"/>
  <c r="AI29" s="1"/>
  <c r="AJ33"/>
  <c r="AJ29" s="1"/>
  <c r="AK33"/>
  <c r="AK24" s="1"/>
  <c r="AL33"/>
  <c r="AL22" s="1"/>
  <c r="M37"/>
  <c r="AM48" s="1"/>
  <c r="AM41" s="1"/>
  <c r="O22"/>
  <c r="O37" s="1"/>
  <c r="AH26"/>
  <c r="AH25"/>
  <c r="AH32"/>
  <c r="AH30"/>
  <c r="AH27"/>
  <c r="AG47"/>
  <c r="AF38"/>
  <c r="AF46"/>
  <c r="AE45"/>
  <c r="AD41"/>
  <c r="AG42"/>
  <c r="AG41"/>
  <c r="AG43"/>
  <c r="AF44"/>
  <c r="AF39"/>
  <c r="AE37"/>
  <c r="AD46"/>
  <c r="AD45"/>
  <c r="AC42"/>
  <c r="AE43"/>
  <c r="AE47"/>
  <c r="AD43"/>
  <c r="AD40"/>
  <c r="AF41"/>
  <c r="AE46"/>
  <c r="AE39"/>
  <c r="AE38"/>
  <c r="AE41"/>
  <c r="AD39"/>
  <c r="AE40"/>
  <c r="AD42"/>
  <c r="AD47"/>
  <c r="AD37"/>
  <c r="AD38"/>
  <c r="AG45"/>
  <c r="AG39"/>
  <c r="AG40"/>
  <c r="AG38"/>
  <c r="AG46"/>
  <c r="AF43"/>
  <c r="AF42"/>
  <c r="AF40"/>
  <c r="AF47"/>
  <c r="AF45"/>
  <c r="AE42"/>
  <c r="AC45"/>
  <c r="AC37"/>
  <c r="AC39"/>
  <c r="AC38"/>
  <c r="AC44"/>
  <c r="AC40"/>
  <c r="AC46"/>
  <c r="AC41"/>
  <c r="AC43"/>
  <c r="AL42"/>
  <c r="AL29"/>
  <c r="AK23"/>
  <c r="AJ30"/>
  <c r="AH41"/>
  <c r="AH47"/>
  <c r="AH38"/>
  <c r="AH42"/>
  <c r="AH40"/>
  <c r="AH39"/>
  <c r="AH43"/>
  <c r="AH44"/>
  <c r="AH46"/>
  <c r="AH45"/>
  <c r="AH37"/>
  <c r="Q32"/>
  <c r="Q47" s="1"/>
  <c r="AN48"/>
  <c r="AN37" s="1"/>
  <c r="T5" i="21"/>
  <c r="T7"/>
  <c r="T9"/>
  <c r="T11"/>
  <c r="T13"/>
  <c r="T15"/>
  <c r="T17"/>
  <c r="T19"/>
  <c r="T4"/>
  <c r="T6"/>
  <c r="T8"/>
  <c r="T10"/>
  <c r="T12"/>
  <c r="T14"/>
  <c r="T16"/>
  <c r="T18"/>
  <c r="T20"/>
  <c r="S22"/>
  <c r="S36" i="2"/>
  <c r="S21"/>
  <c r="AS21" s="1"/>
  <c r="AR36"/>
  <c r="R49"/>
  <c r="T3" i="34"/>
  <c r="T3" i="17"/>
  <c r="U3" i="21"/>
  <c r="T3" i="15"/>
  <c r="T3" i="36"/>
  <c r="T3" i="33"/>
  <c r="T3" i="32"/>
  <c r="AM38" i="2"/>
  <c r="R3"/>
  <c r="R13"/>
  <c r="AL31" l="1"/>
  <c r="AL44"/>
  <c r="AN31"/>
  <c r="AJ24"/>
  <c r="AL25"/>
  <c r="AL37"/>
  <c r="AL43"/>
  <c r="AN30"/>
  <c r="AN24"/>
  <c r="AO33"/>
  <c r="AO31" s="1"/>
  <c r="AJ32"/>
  <c r="AJ25"/>
  <c r="AJ26"/>
  <c r="AL32"/>
  <c r="AL28"/>
  <c r="AL41"/>
  <c r="AL38"/>
  <c r="AL47"/>
  <c r="AL40"/>
  <c r="AL45"/>
  <c r="AN22"/>
  <c r="AN23"/>
  <c r="AL39"/>
  <c r="AI31"/>
  <c r="AM42"/>
  <c r="AM47"/>
  <c r="AM39"/>
  <c r="AM46"/>
  <c r="AI22"/>
  <c r="AI23"/>
  <c r="AK26"/>
  <c r="AM23"/>
  <c r="AM30"/>
  <c r="AI25"/>
  <c r="AI30"/>
  <c r="AI24"/>
  <c r="AK31"/>
  <c r="AK25"/>
  <c r="AK29"/>
  <c r="AM27"/>
  <c r="AM32"/>
  <c r="AM26"/>
  <c r="AM43"/>
  <c r="AM45"/>
  <c r="AM44"/>
  <c r="AM40"/>
  <c r="AM37"/>
  <c r="AI32"/>
  <c r="AI28"/>
  <c r="AI26"/>
  <c r="AI27"/>
  <c r="AK22"/>
  <c r="AK32"/>
  <c r="AK27"/>
  <c r="AK30"/>
  <c r="AK28"/>
  <c r="AM29"/>
  <c r="AM25"/>
  <c r="AM28"/>
  <c r="AM24"/>
  <c r="AM22"/>
  <c r="AJ22"/>
  <c r="AJ27"/>
  <c r="AJ31"/>
  <c r="AJ23"/>
  <c r="AJ28"/>
  <c r="AL26"/>
  <c r="AL27"/>
  <c r="AL30"/>
  <c r="AL23"/>
  <c r="AL24"/>
  <c r="AN27"/>
  <c r="AN26"/>
  <c r="AN25"/>
  <c r="AN28"/>
  <c r="AN29"/>
  <c r="P22"/>
  <c r="AP33" s="1"/>
  <c r="AO29"/>
  <c r="AO24"/>
  <c r="AO28"/>
  <c r="AO23"/>
  <c r="AO25"/>
  <c r="AO30"/>
  <c r="AO27"/>
  <c r="AO26"/>
  <c r="AO32"/>
  <c r="AO22"/>
  <c r="AK41"/>
  <c r="AK39"/>
  <c r="AK44"/>
  <c r="AK45"/>
  <c r="AK43"/>
  <c r="AK47"/>
  <c r="AK42"/>
  <c r="AK38"/>
  <c r="AK40"/>
  <c r="AK46"/>
  <c r="AK37"/>
  <c r="AJ41"/>
  <c r="AJ38"/>
  <c r="AJ45"/>
  <c r="AJ43"/>
  <c r="AJ44"/>
  <c r="AJ46"/>
  <c r="AJ39"/>
  <c r="AJ42"/>
  <c r="AJ47"/>
  <c r="AJ40"/>
  <c r="AJ37"/>
  <c r="AI38"/>
  <c r="AI45"/>
  <c r="AI42"/>
  <c r="AI46"/>
  <c r="AI43"/>
  <c r="AI44"/>
  <c r="AI41"/>
  <c r="AI47"/>
  <c r="AI40"/>
  <c r="AI39"/>
  <c r="R32"/>
  <c r="R47" s="1"/>
  <c r="AN39"/>
  <c r="AN41"/>
  <c r="AN45"/>
  <c r="AN46"/>
  <c r="AN47"/>
  <c r="AN44"/>
  <c r="AN38"/>
  <c r="AN43"/>
  <c r="AN42"/>
  <c r="AN40"/>
  <c r="U4" i="21"/>
  <c r="U6"/>
  <c r="U8"/>
  <c r="U10"/>
  <c r="U12"/>
  <c r="U14"/>
  <c r="U16"/>
  <c r="U18"/>
  <c r="U20"/>
  <c r="U5"/>
  <c r="U7"/>
  <c r="U9"/>
  <c r="U11"/>
  <c r="U13"/>
  <c r="U15"/>
  <c r="U17"/>
  <c r="U19"/>
  <c r="T22"/>
  <c r="S49" i="2"/>
  <c r="AS36"/>
  <c r="T36"/>
  <c r="T21"/>
  <c r="AT21" s="1"/>
  <c r="U3" i="17"/>
  <c r="U3" i="36"/>
  <c r="U3" i="34"/>
  <c r="V3" i="21"/>
  <c r="U3" i="33"/>
  <c r="U3" i="32"/>
  <c r="U3" i="15"/>
  <c r="AO48" i="2"/>
  <c r="S13"/>
  <c r="S3"/>
  <c r="P37" l="1"/>
  <c r="AP48" s="1"/>
  <c r="AP41" s="1"/>
  <c r="Q22"/>
  <c r="AQ33" s="1"/>
  <c r="AQ31" s="1"/>
  <c r="AP28"/>
  <c r="AP32"/>
  <c r="AP27"/>
  <c r="AP29"/>
  <c r="AP24"/>
  <c r="AP23"/>
  <c r="AP22"/>
  <c r="AP30"/>
  <c r="AP25"/>
  <c r="AP31"/>
  <c r="AP26"/>
  <c r="S32"/>
  <c r="S47" s="1"/>
  <c r="AO47"/>
  <c r="AO41"/>
  <c r="V5" i="21"/>
  <c r="V7"/>
  <c r="V9"/>
  <c r="V11"/>
  <c r="V13"/>
  <c r="V15"/>
  <c r="V17"/>
  <c r="V19"/>
  <c r="V4"/>
  <c r="V6"/>
  <c r="V8"/>
  <c r="V10"/>
  <c r="V12"/>
  <c r="V14"/>
  <c r="V16"/>
  <c r="V18"/>
  <c r="V20"/>
  <c r="U22"/>
  <c r="V3" i="34"/>
  <c r="W3" i="21"/>
  <c r="V3" i="33"/>
  <c r="V3" i="32"/>
  <c r="V3" i="15"/>
  <c r="V3" i="17"/>
  <c r="V3" i="36"/>
  <c r="AT36" i="2"/>
  <c r="T49"/>
  <c r="U21"/>
  <c r="AU21" s="1"/>
  <c r="U36"/>
  <c r="AO45"/>
  <c r="AO43"/>
  <c r="AO37"/>
  <c r="AO39"/>
  <c r="AO38"/>
  <c r="AO40"/>
  <c r="AO44"/>
  <c r="AO46"/>
  <c r="AO42"/>
  <c r="T3"/>
  <c r="T13"/>
  <c r="Q37" l="1"/>
  <c r="AQ48" s="1"/>
  <c r="R22"/>
  <c r="AR33" s="1"/>
  <c r="AQ29"/>
  <c r="AQ24"/>
  <c r="AQ23"/>
  <c r="AQ28"/>
  <c r="AQ22"/>
  <c r="AQ26"/>
  <c r="AQ30"/>
  <c r="AQ32"/>
  <c r="AQ27"/>
  <c r="AQ25"/>
  <c r="T32"/>
  <c r="T47" s="1"/>
  <c r="V22" i="21"/>
  <c r="W4"/>
  <c r="W6"/>
  <c r="W8"/>
  <c r="W10"/>
  <c r="W12"/>
  <c r="W14"/>
  <c r="W16"/>
  <c r="W18"/>
  <c r="W20"/>
  <c r="W5"/>
  <c r="W7"/>
  <c r="W9"/>
  <c r="W11"/>
  <c r="W13"/>
  <c r="W15"/>
  <c r="W17"/>
  <c r="W19"/>
  <c r="W3" i="33"/>
  <c r="W3" i="32"/>
  <c r="X3" i="21"/>
  <c r="W3" i="15"/>
  <c r="W3" i="17"/>
  <c r="W3" i="34"/>
  <c r="W3" i="36"/>
  <c r="U49" i="2"/>
  <c r="AU36"/>
  <c r="V36"/>
  <c r="V21"/>
  <c r="AV21" s="1"/>
  <c r="AP37"/>
  <c r="AP39"/>
  <c r="AP38"/>
  <c r="AP44"/>
  <c r="AP40"/>
  <c r="AP45"/>
  <c r="AP47"/>
  <c r="AP42"/>
  <c r="AP43"/>
  <c r="AP46"/>
  <c r="U13"/>
  <c r="U3"/>
  <c r="R37" l="1"/>
  <c r="AR48" s="1"/>
  <c r="AR41" s="1"/>
  <c r="S22"/>
  <c r="AS33" s="1"/>
  <c r="AR28"/>
  <c r="AR32"/>
  <c r="AR29"/>
  <c r="AR23"/>
  <c r="AR25"/>
  <c r="AR22"/>
  <c r="AR30"/>
  <c r="AR26"/>
  <c r="AR24"/>
  <c r="AR31"/>
  <c r="AR27"/>
  <c r="U32"/>
  <c r="U47" s="1"/>
  <c r="AQ45"/>
  <c r="AQ41"/>
  <c r="X5" i="21"/>
  <c r="Z5" s="1"/>
  <c r="X7"/>
  <c r="Z7" s="1"/>
  <c r="X9"/>
  <c r="Z9" s="1"/>
  <c r="X11"/>
  <c r="Z11" s="1"/>
  <c r="X13"/>
  <c r="Z13" s="1"/>
  <c r="X15"/>
  <c r="Z15" s="1"/>
  <c r="X17"/>
  <c r="Z17" s="1"/>
  <c r="X19"/>
  <c r="X4"/>
  <c r="X6"/>
  <c r="Z6" s="1"/>
  <c r="X8"/>
  <c r="Z8" s="1"/>
  <c r="X10"/>
  <c r="Z10" s="1"/>
  <c r="X12"/>
  <c r="Z12" s="1"/>
  <c r="X14"/>
  <c r="Z14" s="1"/>
  <c r="X16"/>
  <c r="Z16" s="1"/>
  <c r="X18"/>
  <c r="Z18" s="1"/>
  <c r="X20"/>
  <c r="Z20" s="1"/>
  <c r="Z19"/>
  <c r="W22"/>
  <c r="W21" i="2"/>
  <c r="AW21" s="1"/>
  <c r="W36"/>
  <c r="AV36"/>
  <c r="V49"/>
  <c r="AQ47"/>
  <c r="AQ46"/>
  <c r="AQ37"/>
  <c r="AQ39"/>
  <c r="AQ38"/>
  <c r="AQ40"/>
  <c r="AQ44"/>
  <c r="AQ43"/>
  <c r="AQ42"/>
  <c r="V3"/>
  <c r="V13"/>
  <c r="S37" l="1"/>
  <c r="AS48" s="1"/>
  <c r="AS41" s="1"/>
  <c r="T22"/>
  <c r="AT33" s="1"/>
  <c r="AS25"/>
  <c r="AS32"/>
  <c r="AS30"/>
  <c r="AS28"/>
  <c r="AS29"/>
  <c r="AS22"/>
  <c r="AS26"/>
  <c r="AS24"/>
  <c r="AS23"/>
  <c r="AS31"/>
  <c r="AS27"/>
  <c r="V32"/>
  <c r="V47" s="1"/>
  <c r="X22" i="21"/>
  <c r="Z4"/>
  <c r="Z22" s="1"/>
  <c r="AW36" i="2"/>
  <c r="W49"/>
  <c r="AR37"/>
  <c r="AR39"/>
  <c r="AR38"/>
  <c r="AR40"/>
  <c r="AR44"/>
  <c r="AR43"/>
  <c r="AR46"/>
  <c r="AR47"/>
  <c r="AR42"/>
  <c r="AR45"/>
  <c r="W3"/>
  <c r="W13"/>
  <c r="T37" l="1"/>
  <c r="AT48" s="1"/>
  <c r="U22"/>
  <c r="AU33" s="1"/>
  <c r="AT29"/>
  <c r="AT24"/>
  <c r="AT23"/>
  <c r="AT25"/>
  <c r="AT22"/>
  <c r="AT28"/>
  <c r="AT30"/>
  <c r="AT32"/>
  <c r="AT31"/>
  <c r="AT27"/>
  <c r="AT26"/>
  <c r="W32"/>
  <c r="Y13"/>
  <c r="Y3"/>
  <c r="AS37"/>
  <c r="AS39"/>
  <c r="AS38"/>
  <c r="AS44"/>
  <c r="AS40"/>
  <c r="AS42"/>
  <c r="AS47"/>
  <c r="AS45"/>
  <c r="AS46"/>
  <c r="AS43"/>
  <c r="W47" l="1"/>
  <c r="X32"/>
  <c r="X47" s="1"/>
  <c r="U37"/>
  <c r="AU48" s="1"/>
  <c r="V22"/>
  <c r="AU29"/>
  <c r="AU32"/>
  <c r="AU24"/>
  <c r="AU28"/>
  <c r="AU23"/>
  <c r="AU25"/>
  <c r="AU30"/>
  <c r="AU22"/>
  <c r="AU31"/>
  <c r="AU26"/>
  <c r="AU27"/>
  <c r="AT43"/>
  <c r="AT41"/>
  <c r="Z8"/>
  <c r="Z9"/>
  <c r="Z5"/>
  <c r="Z7"/>
  <c r="Z13"/>
  <c r="Z12"/>
  <c r="Z11"/>
  <c r="Z4"/>
  <c r="Z10"/>
  <c r="Z6"/>
  <c r="Z3"/>
  <c r="AT45"/>
  <c r="AT47"/>
  <c r="AT46"/>
  <c r="AT42"/>
  <c r="AT37"/>
  <c r="AT39"/>
  <c r="AT38"/>
  <c r="AT44"/>
  <c r="AT40"/>
  <c r="V37" l="1"/>
  <c r="W22"/>
  <c r="AV33"/>
  <c r="AV29" s="1"/>
  <c r="B52"/>
  <c r="B54"/>
  <c r="B56"/>
  <c r="B58"/>
  <c r="B60"/>
  <c r="B51"/>
  <c r="B53"/>
  <c r="B55"/>
  <c r="B57"/>
  <c r="B59"/>
  <c r="B50"/>
  <c r="X50" s="1"/>
  <c r="AU37"/>
  <c r="AU41"/>
  <c r="AU42"/>
  <c r="AU47"/>
  <c r="AV48"/>
  <c r="AV47" s="1"/>
  <c r="AU45"/>
  <c r="AU46"/>
  <c r="AU43"/>
  <c r="AU40"/>
  <c r="AU38"/>
  <c r="AU44"/>
  <c r="AU39"/>
  <c r="AW33" l="1"/>
  <c r="AW29" s="1"/>
  <c r="X22"/>
  <c r="W57"/>
  <c r="X57"/>
  <c r="W53"/>
  <c r="X53"/>
  <c r="W60"/>
  <c r="X60"/>
  <c r="W56"/>
  <c r="X56"/>
  <c r="W52"/>
  <c r="X52"/>
  <c r="W59"/>
  <c r="X59"/>
  <c r="W55"/>
  <c r="X55"/>
  <c r="W51"/>
  <c r="X51"/>
  <c r="W58"/>
  <c r="X58"/>
  <c r="W54"/>
  <c r="X54"/>
  <c r="W50"/>
  <c r="W62" s="1"/>
  <c r="AV26"/>
  <c r="AV31"/>
  <c r="AV27"/>
  <c r="AV25"/>
  <c r="AV30"/>
  <c r="AV28"/>
  <c r="AV32"/>
  <c r="AV24"/>
  <c r="AV22"/>
  <c r="AV23"/>
  <c r="W37"/>
  <c r="AW30"/>
  <c r="AV42"/>
  <c r="AV37"/>
  <c r="AV41"/>
  <c r="V60"/>
  <c r="T60"/>
  <c r="R60"/>
  <c r="P60"/>
  <c r="N60"/>
  <c r="L60"/>
  <c r="J60"/>
  <c r="H60"/>
  <c r="F60"/>
  <c r="D60"/>
  <c r="U60"/>
  <c r="S60"/>
  <c r="Q60"/>
  <c r="O60"/>
  <c r="M60"/>
  <c r="K60"/>
  <c r="I60"/>
  <c r="G60"/>
  <c r="E60"/>
  <c r="C60"/>
  <c r="V59"/>
  <c r="R59"/>
  <c r="P59"/>
  <c r="N59"/>
  <c r="J59"/>
  <c r="F59"/>
  <c r="U59"/>
  <c r="S59"/>
  <c r="Q59"/>
  <c r="O59"/>
  <c r="M59"/>
  <c r="K59"/>
  <c r="I59"/>
  <c r="G59"/>
  <c r="E59"/>
  <c r="C59"/>
  <c r="T59"/>
  <c r="L59"/>
  <c r="H59"/>
  <c r="D59"/>
  <c r="AV38"/>
  <c r="AV46"/>
  <c r="AV45"/>
  <c r="AV40"/>
  <c r="AV44"/>
  <c r="AV43"/>
  <c r="AV39"/>
  <c r="AX33"/>
  <c r="AW48"/>
  <c r="AW41" s="1"/>
  <c r="W63" l="1"/>
  <c r="AW32"/>
  <c r="AW28"/>
  <c r="AW23"/>
  <c r="AW27"/>
  <c r="AW26"/>
  <c r="AW31"/>
  <c r="AW22"/>
  <c r="AW25"/>
  <c r="AW24"/>
  <c r="AX29"/>
  <c r="AX24"/>
  <c r="AX28"/>
  <c r="AX23"/>
  <c r="AX25"/>
  <c r="AX27"/>
  <c r="AX31"/>
  <c r="AX30"/>
  <c r="AX32"/>
  <c r="AX26"/>
  <c r="X37"/>
  <c r="AX48" s="1"/>
  <c r="AX22"/>
  <c r="Z60"/>
  <c r="AB60" s="1"/>
  <c r="Z59"/>
  <c r="AB59" s="1"/>
  <c r="AW37"/>
  <c r="AW39"/>
  <c r="AW44"/>
  <c r="AW38"/>
  <c r="AW40"/>
  <c r="AW46"/>
  <c r="AW47"/>
  <c r="AW45"/>
  <c r="AW42"/>
  <c r="AW43"/>
  <c r="AX43" l="1"/>
  <c r="AX41"/>
  <c r="E54"/>
  <c r="T51"/>
  <c r="J52"/>
  <c r="L56"/>
  <c r="C55"/>
  <c r="V50"/>
  <c r="T57"/>
  <c r="U53"/>
  <c r="P58"/>
  <c r="Q55"/>
  <c r="D51"/>
  <c r="O52"/>
  <c r="D57"/>
  <c r="K58"/>
  <c r="AX42"/>
  <c r="AX45"/>
  <c r="AX47"/>
  <c r="AX46"/>
  <c r="AX37"/>
  <c r="AX39"/>
  <c r="AX38"/>
  <c r="AX44"/>
  <c r="AX40"/>
  <c r="S54" l="1"/>
  <c r="N56"/>
  <c r="I54"/>
  <c r="K54"/>
  <c r="E53"/>
  <c r="T50"/>
  <c r="N54"/>
  <c r="P54"/>
  <c r="O56"/>
  <c r="E56"/>
  <c r="I50"/>
  <c r="P50"/>
  <c r="T54"/>
  <c r="U54"/>
  <c r="F54"/>
  <c r="D54"/>
  <c r="V53"/>
  <c r="Q53"/>
  <c r="I56"/>
  <c r="J56"/>
  <c r="D52"/>
  <c r="S51"/>
  <c r="U55"/>
  <c r="U50"/>
  <c r="C50"/>
  <c r="M54"/>
  <c r="L54"/>
  <c r="J54"/>
  <c r="C54"/>
  <c r="G54"/>
  <c r="R54"/>
  <c r="Q54"/>
  <c r="O54"/>
  <c r="H54"/>
  <c r="V54"/>
  <c r="P53"/>
  <c r="S53"/>
  <c r="D53"/>
  <c r="R56"/>
  <c r="S56"/>
  <c r="Q56"/>
  <c r="K56"/>
  <c r="O58"/>
  <c r="M57"/>
  <c r="O57"/>
  <c r="T52"/>
  <c r="J51"/>
  <c r="E51"/>
  <c r="G51"/>
  <c r="P55"/>
  <c r="G58"/>
  <c r="L58"/>
  <c r="R57"/>
  <c r="N57"/>
  <c r="L52"/>
  <c r="H52"/>
  <c r="V52"/>
  <c r="I51"/>
  <c r="H51"/>
  <c r="R51"/>
  <c r="N51"/>
  <c r="M51"/>
  <c r="D55"/>
  <c r="H55"/>
  <c r="I58"/>
  <c r="T58"/>
  <c r="F58"/>
  <c r="M58"/>
  <c r="E58"/>
  <c r="D58"/>
  <c r="G57"/>
  <c r="P57"/>
  <c r="J57"/>
  <c r="L57"/>
  <c r="U57"/>
  <c r="G52"/>
  <c r="R52"/>
  <c r="I52"/>
  <c r="E52"/>
  <c r="N52"/>
  <c r="C51"/>
  <c r="U51"/>
  <c r="Q51"/>
  <c r="P51"/>
  <c r="F51"/>
  <c r="O51"/>
  <c r="L51"/>
  <c r="V51"/>
  <c r="K51"/>
  <c r="N55"/>
  <c r="M55"/>
  <c r="E55"/>
  <c r="R55"/>
  <c r="V55"/>
  <c r="C58"/>
  <c r="N58"/>
  <c r="U58"/>
  <c r="Q58"/>
  <c r="R58"/>
  <c r="J58"/>
  <c r="S58"/>
  <c r="H58"/>
  <c r="V58"/>
  <c r="I57"/>
  <c r="F57"/>
  <c r="K57"/>
  <c r="C57"/>
  <c r="V57"/>
  <c r="E57"/>
  <c r="H57"/>
  <c r="Q57"/>
  <c r="S57"/>
  <c r="K52"/>
  <c r="P52"/>
  <c r="Q52"/>
  <c r="M52"/>
  <c r="U52"/>
  <c r="C52"/>
  <c r="F52"/>
  <c r="S52"/>
  <c r="I55"/>
  <c r="K55"/>
  <c r="L55"/>
  <c r="S55"/>
  <c r="O55"/>
  <c r="J55"/>
  <c r="F55"/>
  <c r="G55"/>
  <c r="T55"/>
  <c r="L50"/>
  <c r="N50"/>
  <c r="S50"/>
  <c r="R50"/>
  <c r="J50"/>
  <c r="L53"/>
  <c r="O53"/>
  <c r="C53"/>
  <c r="T53"/>
  <c r="F53"/>
  <c r="C56"/>
  <c r="M56"/>
  <c r="U56"/>
  <c r="H56"/>
  <c r="T56"/>
  <c r="G56"/>
  <c r="V56"/>
  <c r="F56"/>
  <c r="D56"/>
  <c r="P56"/>
  <c r="E50"/>
  <c r="G50"/>
  <c r="D50"/>
  <c r="Q50"/>
  <c r="F50"/>
  <c r="K50"/>
  <c r="H50"/>
  <c r="M50"/>
  <c r="O50"/>
  <c r="J53"/>
  <c r="G53"/>
  <c r="I53"/>
  <c r="M53"/>
  <c r="N53"/>
  <c r="K53"/>
  <c r="R53"/>
  <c r="H53"/>
  <c r="V62" l="1"/>
  <c r="M62"/>
  <c r="M63"/>
  <c r="X63"/>
  <c r="X62"/>
  <c r="F63"/>
  <c r="F62"/>
  <c r="D63"/>
  <c r="D62"/>
  <c r="E62"/>
  <c r="E63"/>
  <c r="J63"/>
  <c r="J62"/>
  <c r="S62"/>
  <c r="S63"/>
  <c r="L63"/>
  <c r="L62"/>
  <c r="U62"/>
  <c r="U63"/>
  <c r="I62"/>
  <c r="I63"/>
  <c r="V63"/>
  <c r="O62"/>
  <c r="O63"/>
  <c r="H63"/>
  <c r="H62"/>
  <c r="K62"/>
  <c r="K63"/>
  <c r="Q62"/>
  <c r="Q63"/>
  <c r="G62"/>
  <c r="G63"/>
  <c r="R63"/>
  <c r="R62"/>
  <c r="N63"/>
  <c r="N62"/>
  <c r="P63"/>
  <c r="P62"/>
  <c r="T63"/>
  <c r="T62"/>
  <c r="Z54"/>
  <c r="AB54" s="1"/>
  <c r="Z52"/>
  <c r="AB52" s="1"/>
  <c r="Z51"/>
  <c r="AB51" s="1"/>
  <c r="C62"/>
  <c r="Z55"/>
  <c r="AB55" s="1"/>
  <c r="Z58"/>
  <c r="AB58" s="1"/>
  <c r="C63"/>
  <c r="Z57"/>
  <c r="AB57" s="1"/>
  <c r="Z53"/>
  <c r="AB53" s="1"/>
  <c r="Z56"/>
  <c r="AB56" s="1"/>
  <c r="Z50"/>
  <c r="AB50" l="1"/>
  <c r="Z63"/>
  <c r="Z62"/>
</calcChain>
</file>

<file path=xl/comments1.xml><?xml version="1.0" encoding="utf-8"?>
<comments xmlns="http://schemas.openxmlformats.org/spreadsheetml/2006/main">
  <authors>
    <author>Ernest Berkhout</author>
  </authors>
  <commentList>
    <comment ref="C3"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<sst xmlns="http://schemas.openxmlformats.org/spreadsheetml/2006/main" count="771" uniqueCount="249">
  <si>
    <t>Aantal etappe-overwinningen</t>
  </si>
  <si>
    <t>Bonus</t>
  </si>
  <si>
    <t>B</t>
  </si>
  <si>
    <t>Originaliteit:</t>
  </si>
  <si>
    <t>Gemiddeld:</t>
  </si>
  <si>
    <t>daguitslag</t>
  </si>
  <si>
    <t>cumulatief</t>
  </si>
  <si>
    <t>rekenblad</t>
  </si>
  <si>
    <t>afwijking, cumulatief</t>
  </si>
  <si>
    <t># deelnemers</t>
  </si>
  <si>
    <t>invaller</t>
  </si>
  <si>
    <t>uitvaller/niet gestart</t>
  </si>
  <si>
    <t>klimmer</t>
  </si>
  <si>
    <t>sprinter</t>
  </si>
  <si>
    <t>dagrenner/tijdrijder</t>
  </si>
  <si>
    <t>orig1</t>
  </si>
  <si>
    <t>cumulatief, gecorrigeerd voor originaliteit</t>
  </si>
  <si>
    <t>10-7</t>
  </si>
  <si>
    <t>10-6-1</t>
  </si>
  <si>
    <t xml:space="preserve"> </t>
  </si>
  <si>
    <t xml:space="preserve">  </t>
  </si>
  <si>
    <t>evt. jokers:</t>
  </si>
  <si>
    <t>Etappe uitslag</t>
  </si>
  <si>
    <t>Positie</t>
  </si>
  <si>
    <t>Gele Trui</t>
  </si>
  <si>
    <t>Bolletjes Trui</t>
  </si>
  <si>
    <t xml:space="preserve">Groene Trui </t>
  </si>
  <si>
    <t>BONUS-punten eindklassement (eenmalig):</t>
  </si>
  <si>
    <t>P</t>
  </si>
  <si>
    <t>Test</t>
  </si>
  <si>
    <t>test2</t>
  </si>
  <si>
    <t>test3</t>
  </si>
  <si>
    <t>D</t>
  </si>
  <si>
    <t>E</t>
  </si>
  <si>
    <t>F</t>
  </si>
  <si>
    <t>G</t>
  </si>
  <si>
    <t>H</t>
  </si>
  <si>
    <t>I</t>
  </si>
  <si>
    <t>J</t>
  </si>
  <si>
    <t>K</t>
  </si>
  <si>
    <t>L</t>
  </si>
  <si>
    <t>M</t>
  </si>
  <si>
    <t>N</t>
  </si>
  <si>
    <t>O</t>
  </si>
  <si>
    <t>Q</t>
  </si>
  <si>
    <t>R</t>
  </si>
  <si>
    <t>S</t>
  </si>
  <si>
    <t>T</t>
  </si>
  <si>
    <t>U</t>
  </si>
  <si>
    <t>V</t>
  </si>
  <si>
    <t>W</t>
  </si>
  <si>
    <t>X</t>
  </si>
  <si>
    <t>test4</t>
  </si>
  <si>
    <t>test5</t>
  </si>
  <si>
    <t>test6</t>
  </si>
  <si>
    <t>test7</t>
  </si>
  <si>
    <t>test8</t>
  </si>
  <si>
    <t>test9</t>
  </si>
  <si>
    <t>test10</t>
  </si>
  <si>
    <t>test11</t>
  </si>
  <si>
    <t>test12</t>
  </si>
  <si>
    <t>test13</t>
  </si>
  <si>
    <t>test14</t>
  </si>
  <si>
    <t>test15</t>
  </si>
  <si>
    <t>test16</t>
  </si>
  <si>
    <t>test17</t>
  </si>
  <si>
    <t>teamnaam</t>
  </si>
  <si>
    <t>IJffjes Boys</t>
  </si>
  <si>
    <t>Sanchez</t>
  </si>
  <si>
    <t>Vinokourov</t>
  </si>
  <si>
    <t>Gesink</t>
  </si>
  <si>
    <t>Bradley</t>
  </si>
  <si>
    <t>Wiggins</t>
  </si>
  <si>
    <t>Brajkovic</t>
  </si>
  <si>
    <t>Basso</t>
  </si>
  <si>
    <t>Cavendish</t>
  </si>
  <si>
    <t>Farrar</t>
  </si>
  <si>
    <t>Levi</t>
  </si>
  <si>
    <t>Leipheimer</t>
  </si>
  <si>
    <t>Cancellara</t>
  </si>
  <si>
    <t>City United</t>
  </si>
  <si>
    <t>Evans</t>
  </si>
  <si>
    <t>Martin</t>
  </si>
  <si>
    <t>Petacchi</t>
  </si>
  <si>
    <t>Peter K.</t>
  </si>
  <si>
    <t>Boasson Hagen</t>
  </si>
  <si>
    <t>Kees</t>
  </si>
  <si>
    <t>Rojas</t>
  </si>
  <si>
    <t>Taaramae</t>
  </si>
  <si>
    <t>Voeckler</t>
  </si>
  <si>
    <t>Jan</t>
  </si>
  <si>
    <t>Populariteit</t>
  </si>
  <si>
    <t>Willem</t>
  </si>
  <si>
    <t>Hesjedal</t>
  </si>
  <si>
    <t xml:space="preserve">Bolletjes Trui </t>
  </si>
  <si>
    <t xml:space="preserve">Gele Trui </t>
  </si>
  <si>
    <t>Bauke</t>
  </si>
  <si>
    <t>Mollema</t>
  </si>
  <si>
    <t>Gilbert</t>
  </si>
  <si>
    <t>Greipel</t>
  </si>
  <si>
    <t>Goss</t>
  </si>
  <si>
    <t>Danielson</t>
  </si>
  <si>
    <t>Feillu</t>
  </si>
  <si>
    <t>Van Den Broeck</t>
  </si>
  <si>
    <t>Ernest</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</si>
  <si>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</si>
  <si>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</si>
  <si>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</si>
  <si>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</si>
  <si>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</si>
  <si>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</si>
  <si>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</si>
  <si>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</si>
  <si>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</si>
  <si>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</si>
  <si>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</si>
  <si>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</si>
  <si>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</si>
  <si>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</si>
  <si>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</si>
  <si>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Lothars Revenge: Oranje (naar) boven!</t>
  </si>
  <si>
    <t>Robert</t>
  </si>
  <si>
    <t>Lieuwe</t>
  </si>
  <si>
    <t>Westra</t>
  </si>
  <si>
    <t>Johnny</t>
  </si>
  <si>
    <t>Hoogerland</t>
  </si>
  <si>
    <t>Wout</t>
  </si>
  <si>
    <t>Poels</t>
  </si>
  <si>
    <t>Edwald</t>
  </si>
  <si>
    <t>Peter</t>
  </si>
  <si>
    <t>Sagan</t>
  </si>
  <si>
    <t>Marcel</t>
  </si>
  <si>
    <t>Kittel</t>
  </si>
  <si>
    <t>Tyler</t>
  </si>
  <si>
    <t>Jose Joaquin</t>
  </si>
  <si>
    <t>Matthew</t>
  </si>
  <si>
    <t>Denis</t>
  </si>
  <si>
    <t>Menchov</t>
  </si>
  <si>
    <t>Simon</t>
  </si>
  <si>
    <t>Gerrans</t>
  </si>
  <si>
    <t>Rein</t>
  </si>
  <si>
    <t>Cadel</t>
  </si>
  <si>
    <t>Allessandro</t>
  </si>
  <si>
    <t>Valverde</t>
  </si>
  <si>
    <t>Tony</t>
  </si>
  <si>
    <t>Fabian</t>
  </si>
  <si>
    <t>christopher</t>
  </si>
  <si>
    <t>Froome</t>
  </si>
  <si>
    <t>Ode Kolonne</t>
  </si>
  <si>
    <t>Matthijs</t>
  </si>
  <si>
    <t>Mark</t>
  </si>
  <si>
    <t>Tom</t>
  </si>
  <si>
    <t>Philippe</t>
  </si>
  <si>
    <t>Matthew Harley</t>
  </si>
  <si>
    <t>Andre</t>
  </si>
  <si>
    <t>Edwald Boasson</t>
  </si>
  <si>
    <t>Ryder</t>
  </si>
  <si>
    <t>Samuel</t>
  </si>
  <si>
    <t>Frank</t>
  </si>
  <si>
    <t>Schleck</t>
  </si>
  <si>
    <t>Jurgen</t>
  </si>
  <si>
    <t>Van den Broeck</t>
  </si>
  <si>
    <t>Luis-Leon</t>
  </si>
  <si>
    <t>Ivan</t>
  </si>
  <si>
    <t>Jeremy</t>
  </si>
  <si>
    <t>Roy</t>
  </si>
  <si>
    <t>Winner on Wheels</t>
  </si>
  <si>
    <t>Marjon</t>
  </si>
  <si>
    <t>Janez</t>
  </si>
  <si>
    <t>Vicenzo</t>
  </si>
  <si>
    <t>Nibali</t>
  </si>
  <si>
    <t>André</t>
  </si>
  <si>
    <t>Juan jose</t>
  </si>
  <si>
    <t>Cobo Acebo</t>
  </si>
  <si>
    <t>Special Victims Unit</t>
  </si>
  <si>
    <t>KITTEL</t>
  </si>
  <si>
    <t>EVANS</t>
  </si>
  <si>
    <t>SANCHEZ</t>
  </si>
  <si>
    <t>Oscar</t>
  </si>
  <si>
    <t>FREIRE</t>
  </si>
  <si>
    <t>Vincenzo</t>
  </si>
  <si>
    <t>NIBALI</t>
  </si>
  <si>
    <t>SAGAN</t>
  </si>
  <si>
    <t>VAN DEN BROECK</t>
  </si>
  <si>
    <t>GREIPEL</t>
  </si>
  <si>
    <t>ROJAS</t>
  </si>
  <si>
    <t>Alejandro</t>
  </si>
  <si>
    <t>VALVERDE</t>
  </si>
  <si>
    <t>GOSS</t>
  </si>
  <si>
    <t>GESINK</t>
  </si>
  <si>
    <t>CANCELLARA</t>
  </si>
  <si>
    <t>CAVENDISH</t>
  </si>
  <si>
    <t>Christopher</t>
  </si>
  <si>
    <t>FROOME</t>
  </si>
  <si>
    <t>Edvald</t>
  </si>
  <si>
    <t>BOASSON HAGEN</t>
  </si>
  <si>
    <t>WIGGINS</t>
  </si>
  <si>
    <t xml:space="preserve">Tyler </t>
  </si>
  <si>
    <t>FARRAR</t>
  </si>
  <si>
    <t>MARTIN</t>
  </si>
  <si>
    <t>Thomas</t>
  </si>
  <si>
    <t>DANIELSON</t>
  </si>
  <si>
    <t>Freire</t>
  </si>
  <si>
    <t>Am Selfkant</t>
  </si>
  <si>
    <t xml:space="preserve">Samuel </t>
  </si>
  <si>
    <t>Edvald Boasson</t>
  </si>
  <si>
    <t>Pierre</t>
  </si>
  <si>
    <t>Rolland</t>
  </si>
  <si>
    <t>David</t>
  </si>
  <si>
    <t>Zabriskie</t>
  </si>
  <si>
    <t>L.L.</t>
  </si>
  <si>
    <t>Jolanthe/Bart</t>
  </si>
  <si>
    <t>De Lange Man</t>
  </si>
  <si>
    <t>Gerard</t>
  </si>
  <si>
    <t>Tylar</t>
  </si>
  <si>
    <t>José</t>
  </si>
  <si>
    <t>Baden</t>
  </si>
  <si>
    <t>Cooke</t>
  </si>
  <si>
    <t>van den Broeck</t>
  </si>
  <si>
    <t>Jelle</t>
  </si>
  <si>
    <t>Vanendert</t>
  </si>
  <si>
    <t>Annita</t>
  </si>
  <si>
    <t xml:space="preserve">Fabian </t>
  </si>
  <si>
    <t xml:space="preserve">Thomas </t>
  </si>
  <si>
    <t>Evald</t>
  </si>
  <si>
    <t xml:space="preserve">Steven </t>
  </si>
  <si>
    <t>Kruijswijk</t>
  </si>
  <si>
    <t>Andreas</t>
  </si>
  <si>
    <t>Kloden</t>
  </si>
  <si>
    <t>Brice</t>
  </si>
  <si>
    <t>Alegandro</t>
  </si>
  <si>
    <t>Alessandro</t>
  </si>
  <si>
    <t>Mahawong</t>
  </si>
  <si>
    <t>El Gran</t>
  </si>
  <si>
    <t>Leen Hoogeveen</t>
  </si>
  <si>
    <t>Van den broeck</t>
  </si>
  <si>
    <t>Velits</t>
  </si>
  <si>
    <t>Alexandre</t>
  </si>
  <si>
    <t>taaramae</t>
  </si>
  <si>
    <t>Lothar</t>
  </si>
  <si>
    <t>Ode</t>
  </si>
  <si>
    <t>Winner</t>
  </si>
  <si>
    <t>SVU</t>
  </si>
  <si>
    <t>Selfkant</t>
  </si>
  <si>
    <t>City</t>
  </si>
  <si>
    <t>Lange</t>
  </si>
  <si>
    <t>Gran</t>
  </si>
  <si>
    <t>IJff</t>
  </si>
  <si>
    <t>Ami</t>
  </si>
</sst>
</file>

<file path=xl/styles.xml><?xml version="1.0" encoding="utf-8"?>
<styleSheet xmlns="http://schemas.openxmlformats.org/spreadsheetml/2006/main">
  <fonts count="102">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10"/>
      <name val="Arial"/>
      <family val="2"/>
    </font>
    <font>
      <strike/>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sz val="10"/>
      <color indexed="48"/>
      <name val="Verdana"/>
      <family val="2"/>
    </font>
    <font>
      <sz val="10"/>
      <color indexed="13"/>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indexed="8"/>
      <name val="Arial"/>
      <family val="2"/>
    </font>
    <font>
      <i/>
      <sz val="10"/>
      <color indexed="8"/>
      <name val="Arial"/>
      <family val="2"/>
    </font>
    <font>
      <sz val="10"/>
      <name val="Calibri"/>
      <family val="2"/>
    </font>
    <font>
      <sz val="10"/>
      <color indexed="55"/>
      <name val="Garamond"/>
      <family val="1"/>
    </font>
    <font>
      <sz val="10"/>
      <color indexed="10"/>
      <name val="Garamond"/>
      <family val="1"/>
    </font>
    <font>
      <sz val="10"/>
      <name val="Arial"/>
      <family val="2"/>
    </font>
    <font>
      <strike/>
      <sz val="10"/>
      <name val="Cambria"/>
      <family val="1"/>
    </font>
    <font>
      <sz val="10"/>
      <name val="Arial"/>
      <family val="2"/>
    </font>
    <font>
      <i/>
      <sz val="10"/>
      <name val="Garamond"/>
      <family val="1"/>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i/>
      <sz val="10"/>
      <color rgb="FF0070C0"/>
      <name val="Calibri"/>
      <family val="2"/>
      <scheme val="minor"/>
    </font>
    <font>
      <i/>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sz val="10"/>
      <color indexed="13"/>
      <name val="Calibri"/>
      <family val="2"/>
      <scheme val="minor"/>
    </font>
    <font>
      <b/>
      <sz val="10"/>
      <color indexed="14"/>
      <name val="Calibri"/>
      <family val="2"/>
      <scheme val="minor"/>
    </font>
    <font>
      <u/>
      <sz val="10"/>
      <name val="Calibri"/>
      <family val="2"/>
      <scheme val="minor"/>
    </font>
    <font>
      <sz val="10"/>
      <color indexed="48"/>
      <name val="Calibri"/>
      <family val="2"/>
      <scheme val="minor"/>
    </font>
    <font>
      <sz val="9"/>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0" tint="-0.34998626667073579"/>
      <name val="Garamond"/>
      <family val="1"/>
    </font>
    <font>
      <sz val="10"/>
      <color theme="0" tint="-0.34998626667073579"/>
      <name val="Calibri"/>
      <family val="2"/>
    </font>
    <font>
      <sz val="10"/>
      <color theme="0" tint="-0.249977111117893"/>
      <name val="Garamond"/>
      <family val="1"/>
    </font>
    <font>
      <sz val="10"/>
      <color theme="0" tint="-0.249977111117893"/>
      <name val="Calibri"/>
      <family val="2"/>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8"/>
        <bgColor indexed="64"/>
      </patternFill>
    </fill>
    <fill>
      <patternFill patternType="solid">
        <fgColor indexed="11"/>
        <bgColor indexed="64"/>
      </patternFill>
    </fill>
    <fill>
      <patternFill patternType="solid">
        <fgColor indexed="42"/>
        <bgColor indexed="64"/>
      </patternFill>
    </fill>
    <fill>
      <patternFill patternType="solid">
        <fgColor indexed="51"/>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0.14999847407452621"/>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9">
    <xf numFmtId="0" fontId="0" fillId="0" borderId="0"/>
    <xf numFmtId="0" fontId="38" fillId="2" borderId="0" applyNumberFormat="0" applyBorder="0" applyAlignment="0" applyProtection="0"/>
    <xf numFmtId="0" fontId="29" fillId="5" borderId="1" applyNumberFormat="0" applyAlignment="0" applyProtection="0"/>
    <xf numFmtId="0" fontId="30" fillId="6" borderId="2" applyNumberFormat="0" applyAlignment="0" applyProtection="0"/>
    <xf numFmtId="0" fontId="42" fillId="0" borderId="0" applyNumberFormat="0" applyFill="0" applyBorder="0" applyAlignment="0" applyProtection="0"/>
    <xf numFmtId="0" fontId="32" fillId="3" borderId="0" applyNumberFormat="0" applyBorder="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3" fillId="4" borderId="1" applyNumberFormat="0" applyAlignment="0" applyProtection="0"/>
    <xf numFmtId="0" fontId="31" fillId="0" borderId="6" applyNumberFormat="0" applyFill="0" applyAlignment="0" applyProtection="0"/>
    <xf numFmtId="0" fontId="37" fillId="7" borderId="0" applyNumberFormat="0" applyBorder="0" applyAlignment="0" applyProtection="0"/>
    <xf numFmtId="0" fontId="2" fillId="0" borderId="0"/>
    <xf numFmtId="0" fontId="1" fillId="0" borderId="0"/>
    <xf numFmtId="0" fontId="7" fillId="0" borderId="0"/>
    <xf numFmtId="0" fontId="49" fillId="8" borderId="7" applyNumberFormat="0" applyFont="0" applyAlignment="0" applyProtection="0"/>
    <xf numFmtId="0" fontId="41" fillId="5" borderId="8" applyNumberFormat="0" applyAlignment="0" applyProtection="0"/>
    <xf numFmtId="9" fontId="49" fillId="0" borderId="0" applyFon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43" fillId="0" borderId="0" applyNumberForma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0" fontId="67" fillId="0" borderId="41" applyNumberFormat="0" applyFill="0" applyAlignment="0" applyProtection="0"/>
    <xf numFmtId="0" fontId="68" fillId="0" borderId="42" applyNumberFormat="0" applyFill="0" applyAlignment="0" applyProtection="0"/>
    <xf numFmtId="0" fontId="68" fillId="0" borderId="0" applyNumberFormat="0" applyFill="0" applyBorder="0" applyAlignment="0" applyProtection="0"/>
    <xf numFmtId="0" fontId="69" fillId="19" borderId="0" applyNumberFormat="0" applyBorder="0" applyAlignment="0" applyProtection="0"/>
    <xf numFmtId="0" fontId="70" fillId="20" borderId="0" applyNumberFormat="0" applyBorder="0" applyAlignment="0" applyProtection="0"/>
    <xf numFmtId="0" fontId="71" fillId="21" borderId="0" applyNumberFormat="0" applyBorder="0" applyAlignment="0" applyProtection="0"/>
    <xf numFmtId="0" fontId="72" fillId="22" borderId="43" applyNumberFormat="0" applyAlignment="0" applyProtection="0"/>
    <xf numFmtId="0" fontId="73" fillId="23" borderId="44" applyNumberFormat="0" applyAlignment="0" applyProtection="0"/>
    <xf numFmtId="0" fontId="74" fillId="23" borderId="43" applyNumberFormat="0" applyAlignment="0" applyProtection="0"/>
    <xf numFmtId="0" fontId="75" fillId="0" borderId="45" applyNumberFormat="0" applyFill="0" applyAlignment="0" applyProtection="0"/>
    <xf numFmtId="0" fontId="76" fillId="24" borderId="46" applyNumberFormat="0" applyAlignment="0" applyProtection="0"/>
    <xf numFmtId="0" fontId="77" fillId="0" borderId="0" applyNumberFormat="0" applyFill="0" applyBorder="0" applyAlignment="0" applyProtection="0"/>
    <xf numFmtId="0" fontId="51" fillId="25" borderId="47" applyNumberFormat="0" applyFont="0" applyAlignment="0" applyProtection="0"/>
    <xf numFmtId="0" fontId="78" fillId="0" borderId="0" applyNumberFormat="0" applyFill="0" applyBorder="0" applyAlignment="0" applyProtection="0"/>
    <xf numFmtId="0" fontId="79" fillId="0" borderId="48" applyNumberFormat="0" applyFill="0" applyAlignment="0" applyProtection="0"/>
  </cellStyleXfs>
  <cellXfs count="322">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9" borderId="10" xfId="0" applyFont="1" applyFill="1" applyBorder="1" applyAlignment="1">
      <alignment horizontal="center"/>
    </xf>
    <xf numFmtId="0" fontId="7" fillId="0" borderId="0" xfId="15"/>
    <xf numFmtId="0" fontId="7" fillId="0" borderId="0" xfId="15" applyBorder="1"/>
    <xf numFmtId="0" fontId="7" fillId="0" borderId="0" xfId="15" applyBorder="1" applyAlignment="1">
      <alignment horizontal="center"/>
    </xf>
    <xf numFmtId="0" fontId="7" fillId="0" borderId="11" xfId="15"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7" fillId="0" borderId="0" xfId="15" applyFont="1" applyBorder="1"/>
    <xf numFmtId="1" fontId="7" fillId="0" borderId="11" xfId="15" applyNumberFormat="1" applyBorder="1" applyAlignment="1">
      <alignment horizontal="center"/>
    </xf>
    <xf numFmtId="2" fontId="7" fillId="0" borderId="11" xfId="15" applyNumberFormat="1" applyBorder="1" applyAlignment="1">
      <alignment horizontal="center"/>
    </xf>
    <xf numFmtId="0" fontId="0" fillId="0" borderId="0" xfId="0" applyFill="1"/>
    <xf numFmtId="0" fontId="9" fillId="0" borderId="0" xfId="15" applyFont="1"/>
    <xf numFmtId="0" fontId="11" fillId="0" borderId="0" xfId="0" applyFont="1"/>
    <xf numFmtId="0" fontId="12" fillId="0" borderId="0" xfId="0" applyFont="1" applyAlignment="1">
      <alignment horizontal="center"/>
    </xf>
    <xf numFmtId="0" fontId="12" fillId="0" borderId="0" xfId="0" applyFont="1"/>
    <xf numFmtId="0" fontId="12" fillId="0" borderId="0" xfId="0" applyFont="1" applyFill="1" applyAlignment="1">
      <alignment horizontal="center"/>
    </xf>
    <xf numFmtId="0" fontId="13" fillId="0" borderId="12" xfId="0" applyFont="1" applyBorder="1" applyAlignment="1">
      <alignment horizontal="center"/>
    </xf>
    <xf numFmtId="0" fontId="14" fillId="0" borderId="0" xfId="0" applyFont="1"/>
    <xf numFmtId="0" fontId="12" fillId="0" borderId="13" xfId="0" applyFont="1" applyBorder="1" applyAlignment="1">
      <alignment wrapText="1"/>
    </xf>
    <xf numFmtId="0" fontId="15" fillId="0" borderId="14" xfId="0" applyFont="1" applyBorder="1" applyAlignment="1">
      <alignment horizontal="left"/>
    </xf>
    <xf numFmtId="0" fontId="16" fillId="10" borderId="15" xfId="0" applyFont="1" applyFill="1" applyBorder="1" applyAlignment="1">
      <alignment horizontal="left"/>
    </xf>
    <xf numFmtId="0" fontId="12" fillId="9" borderId="15" xfId="0" applyFont="1" applyFill="1" applyBorder="1" applyAlignment="1">
      <alignment horizontal="left"/>
    </xf>
    <xf numFmtId="0" fontId="10" fillId="11" borderId="15" xfId="0" applyFont="1" applyFill="1" applyBorder="1" applyAlignment="1">
      <alignment horizontal="left"/>
    </xf>
    <xf numFmtId="0" fontId="10" fillId="0" borderId="16" xfId="0" applyFont="1" applyBorder="1" applyAlignment="1">
      <alignment horizontal="left"/>
    </xf>
    <xf numFmtId="0" fontId="12" fillId="0" borderId="0" xfId="0" applyFont="1" applyFill="1"/>
    <xf numFmtId="0" fontId="0" fillId="0" borderId="0" xfId="0" applyFill="1" applyProtection="1">
      <protection locked="0"/>
    </xf>
    <xf numFmtId="2" fontId="7" fillId="0" borderId="0" xfId="15" applyNumberFormat="1" applyBorder="1" applyAlignment="1">
      <alignment horizontal="center"/>
    </xf>
    <xf numFmtId="0" fontId="11" fillId="0" borderId="0" xfId="0" applyFont="1" applyFill="1"/>
    <xf numFmtId="0" fontId="2" fillId="0" borderId="0" xfId="0" applyFont="1" applyFill="1" applyBorder="1"/>
    <xf numFmtId="0" fontId="0" fillId="0" borderId="17" xfId="0" applyFill="1" applyBorder="1"/>
    <xf numFmtId="0" fontId="0" fillId="0" borderId="0" xfId="0" applyFill="1" applyAlignment="1" applyProtection="1">
      <alignment horizontal="center"/>
      <protection locked="0"/>
    </xf>
    <xf numFmtId="0" fontId="8" fillId="0" borderId="0" xfId="0" applyFont="1" applyFill="1" applyAlignment="1">
      <alignment horizontal="center"/>
    </xf>
    <xf numFmtId="0" fontId="5" fillId="0" borderId="0" xfId="0" applyFont="1" applyFill="1"/>
    <xf numFmtId="1" fontId="13" fillId="0" borderId="0" xfId="0" applyNumberFormat="1" applyFont="1" applyBorder="1" applyAlignment="1" applyProtection="1">
      <alignment horizontal="right"/>
    </xf>
    <xf numFmtId="0" fontId="12"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12" fillId="0" borderId="18" xfId="0" applyFont="1" applyBorder="1" applyAlignment="1">
      <alignment horizontal="center"/>
    </xf>
    <xf numFmtId="0" fontId="16" fillId="10" borderId="0" xfId="0" applyFont="1" applyFill="1" applyBorder="1" applyAlignment="1">
      <alignment horizontal="left"/>
    </xf>
    <xf numFmtId="0" fontId="12" fillId="9" borderId="0" xfId="0" applyFont="1" applyFill="1" applyBorder="1" applyAlignment="1">
      <alignment horizontal="center"/>
    </xf>
    <xf numFmtId="0" fontId="12" fillId="11" borderId="0" xfId="0" applyFont="1" applyFill="1" applyBorder="1" applyAlignment="1">
      <alignment horizontal="center"/>
    </xf>
    <xf numFmtId="0" fontId="12" fillId="0" borderId="19" xfId="0" applyFont="1" applyBorder="1" applyAlignment="1">
      <alignment horizontal="center"/>
    </xf>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Protection="1">
      <protection locked="0"/>
    </xf>
    <xf numFmtId="0" fontId="17" fillId="0" borderId="0" xfId="0" applyFont="1" applyFill="1" applyBorder="1" applyProtection="1">
      <protection locked="0"/>
    </xf>
    <xf numFmtId="0" fontId="18" fillId="0" borderId="0" xfId="0" applyFont="1" applyFill="1" applyBorder="1"/>
    <xf numFmtId="0" fontId="18" fillId="0" borderId="0" xfId="0" applyFont="1" applyFill="1" applyBorder="1" applyAlignment="1">
      <alignment horizontal="center"/>
    </xf>
    <xf numFmtId="0" fontId="17" fillId="0" borderId="0" xfId="0" applyFont="1" applyFill="1" applyBorder="1" applyAlignment="1">
      <alignment horizontal="center"/>
    </xf>
    <xf numFmtId="0" fontId="17"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9" fillId="0" borderId="0" xfId="0" applyFont="1" applyFill="1" applyBorder="1"/>
    <xf numFmtId="0" fontId="19" fillId="0" borderId="0" xfId="0" applyFont="1" applyFill="1"/>
    <xf numFmtId="0" fontId="18"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3" fillId="0" borderId="0" xfId="0" applyFont="1"/>
    <xf numFmtId="49" fontId="2" fillId="0" borderId="0" xfId="0" applyNumberFormat="1" applyFont="1" applyFill="1" applyBorder="1"/>
    <xf numFmtId="0" fontId="3" fillId="0" borderId="0" xfId="0" applyFont="1" applyFill="1" applyBorder="1" applyAlignment="1" applyProtection="1">
      <alignment horizontal="right"/>
      <protection locked="0"/>
    </xf>
    <xf numFmtId="0" fontId="20" fillId="0" borderId="0" xfId="0" applyFont="1"/>
    <xf numFmtId="0" fontId="20" fillId="0" borderId="0" xfId="0" applyFont="1" applyFill="1" applyBorder="1" applyAlignment="1">
      <alignment horizontal="center"/>
    </xf>
    <xf numFmtId="0" fontId="20" fillId="0" borderId="0" xfId="0" applyFont="1" applyFill="1" applyBorder="1" applyProtection="1">
      <protection locked="0"/>
    </xf>
    <xf numFmtId="0" fontId="20" fillId="0" borderId="0" xfId="0" applyFont="1" applyFill="1" applyBorder="1"/>
    <xf numFmtId="0" fontId="6" fillId="0" borderId="20" xfId="15" applyFont="1" applyBorder="1" applyAlignment="1">
      <alignment horizontal="left"/>
    </xf>
    <xf numFmtId="0" fontId="7" fillId="0" borderId="21" xfId="15" applyBorder="1"/>
    <xf numFmtId="49" fontId="12" fillId="0" borderId="0" xfId="0" applyNumberFormat="1" applyFont="1" applyFill="1" applyAlignment="1">
      <alignment horizontal="center"/>
    </xf>
    <xf numFmtId="49" fontId="12" fillId="0" borderId="0" xfId="0" applyNumberFormat="1" applyFont="1" applyFill="1"/>
    <xf numFmtId="49" fontId="2" fillId="0" borderId="0" xfId="0" quotePrefix="1" applyNumberFormat="1" applyFont="1" applyFill="1" applyBorder="1"/>
    <xf numFmtId="49" fontId="5" fillId="0" borderId="0" xfId="0" quotePrefix="1" applyNumberFormat="1" applyFont="1" applyFill="1" applyBorder="1"/>
    <xf numFmtId="0" fontId="5" fillId="0" borderId="0" xfId="0" applyFont="1" applyFill="1" applyAlignment="1" applyProtection="1">
      <alignment horizontal="left"/>
      <protection locked="0"/>
    </xf>
    <xf numFmtId="49" fontId="18" fillId="0" borderId="0" xfId="0" applyNumberFormat="1" applyFont="1" applyFill="1" applyBorder="1" applyProtection="1">
      <protection locked="0"/>
    </xf>
    <xf numFmtId="49" fontId="5" fillId="0" borderId="0" xfId="0" applyNumberFormat="1" applyFont="1" applyFill="1" applyBorder="1" applyAlignment="1" applyProtection="1">
      <alignment horizontal="left"/>
      <protection locked="0"/>
    </xf>
    <xf numFmtId="0" fontId="3" fillId="0" borderId="22" xfId="0" applyFont="1" applyBorder="1" applyAlignment="1">
      <alignment horizontal="center"/>
    </xf>
    <xf numFmtId="0" fontId="3" fillId="0" borderId="22" xfId="0" applyFont="1" applyBorder="1" applyAlignment="1">
      <alignment horizontal="right"/>
    </xf>
    <xf numFmtId="0" fontId="22" fillId="0" borderId="0" xfId="0" applyFont="1"/>
    <xf numFmtId="0" fontId="22" fillId="0" borderId="0" xfId="0" applyFont="1" applyBorder="1" applyAlignment="1">
      <alignment horizontal="center"/>
    </xf>
    <xf numFmtId="0" fontId="23" fillId="0" borderId="0" xfId="0" applyFont="1" applyBorder="1" applyAlignment="1">
      <alignment horizontal="center"/>
    </xf>
    <xf numFmtId="0" fontId="24" fillId="0" borderId="0" xfId="0" applyFont="1"/>
    <xf numFmtId="0" fontId="25" fillId="0" borderId="14" xfId="0" applyFont="1" applyBorder="1" applyAlignment="1">
      <alignment horizontal="left"/>
    </xf>
    <xf numFmtId="0" fontId="26" fillId="0" borderId="0" xfId="0" applyFont="1" applyAlignment="1">
      <alignment horizontal="right"/>
    </xf>
    <xf numFmtId="0" fontId="11" fillId="0" borderId="0" xfId="0" applyFont="1" applyFill="1" applyAlignment="1" applyProtection="1">
      <alignment horizontal="center"/>
    </xf>
    <xf numFmtId="0" fontId="11" fillId="0" borderId="0" xfId="0" applyFont="1" applyBorder="1" applyAlignment="1" applyProtection="1">
      <alignment horizontal="center"/>
    </xf>
    <xf numFmtId="0" fontId="12" fillId="0" borderId="0" xfId="0" applyFont="1" applyFill="1" applyBorder="1" applyProtection="1"/>
    <xf numFmtId="0" fontId="12" fillId="0" borderId="0" xfId="0" applyFont="1" applyFill="1" applyProtection="1"/>
    <xf numFmtId="0" fontId="12" fillId="0" borderId="0" xfId="0" applyFont="1" applyProtection="1"/>
    <xf numFmtId="0" fontId="12" fillId="12" borderId="0" xfId="0" applyFont="1" applyFill="1" applyProtection="1"/>
    <xf numFmtId="0" fontId="0" fillId="0" borderId="0" xfId="0" applyFill="1" applyProtection="1"/>
    <xf numFmtId="0" fontId="11" fillId="0" borderId="0" xfId="0" applyFont="1" applyFill="1" applyBorder="1" applyProtection="1"/>
    <xf numFmtId="0" fontId="11" fillId="0" borderId="0" xfId="0" applyFont="1" applyFill="1" applyProtection="1"/>
    <xf numFmtId="0" fontId="11" fillId="12" borderId="0" xfId="0" applyFont="1" applyFill="1" applyProtection="1"/>
    <xf numFmtId="0" fontId="0" fillId="12" borderId="0" xfId="0" applyFill="1" applyProtection="1"/>
    <xf numFmtId="0" fontId="11" fillId="0" borderId="0" xfId="0" applyFont="1" applyFill="1" applyAlignment="1" applyProtection="1"/>
    <xf numFmtId="0" fontId="6" fillId="0" borderId="0" xfId="0" applyFont="1" applyFill="1" applyBorder="1"/>
    <xf numFmtId="0" fontId="12" fillId="0" borderId="13" xfId="0" applyFont="1" applyBorder="1"/>
    <xf numFmtId="0" fontId="12" fillId="0" borderId="0" xfId="0" applyNumberFormat="1" applyFont="1" applyFill="1" applyBorder="1" applyAlignment="1">
      <alignment horizontal="center"/>
    </xf>
    <xf numFmtId="0" fontId="12" fillId="0" borderId="0" xfId="0" applyNumberFormat="1" applyFont="1" applyBorder="1" applyAlignment="1">
      <alignment horizontal="center"/>
    </xf>
    <xf numFmtId="0" fontId="12" fillId="0" borderId="0" xfId="0" applyNumberFormat="1" applyFont="1" applyFill="1" applyBorder="1" applyAlignment="1" applyProtection="1">
      <alignment horizontal="center"/>
    </xf>
    <xf numFmtId="0" fontId="12" fillId="0" borderId="0" xfId="0" applyNumberFormat="1" applyFont="1" applyBorder="1" applyAlignment="1" applyProtection="1">
      <alignment horizontal="center"/>
    </xf>
    <xf numFmtId="0" fontId="13" fillId="0" borderId="0" xfId="0" applyNumberFormat="1" applyFont="1" applyBorder="1" applyAlignment="1">
      <alignment horizontal="center"/>
    </xf>
    <xf numFmtId="0" fontId="27" fillId="9" borderId="0" xfId="0" applyFont="1" applyFill="1" applyAlignment="1">
      <alignment horizontal="center" wrapText="1"/>
    </xf>
    <xf numFmtId="0" fontId="28" fillId="0" borderId="0" xfId="0" applyFont="1" applyAlignment="1">
      <alignment horizontal="center" wrapText="1"/>
    </xf>
    <xf numFmtId="0" fontId="27" fillId="9" borderId="23" xfId="0" applyFont="1" applyFill="1" applyBorder="1" applyAlignment="1">
      <alignment horizontal="center" wrapText="1"/>
    </xf>
    <xf numFmtId="0" fontId="28" fillId="0" borderId="23" xfId="0" applyFont="1" applyBorder="1" applyAlignment="1">
      <alignment horizontal="center" wrapText="1"/>
    </xf>
    <xf numFmtId="0" fontId="28" fillId="14" borderId="0" xfId="0" applyFont="1" applyFill="1" applyAlignment="1">
      <alignment wrapText="1"/>
    </xf>
    <xf numFmtId="0" fontId="6" fillId="0" borderId="0" xfId="0" applyFont="1" applyFill="1" applyBorder="1" applyAlignment="1">
      <alignment horizontal="center"/>
    </xf>
    <xf numFmtId="0" fontId="44" fillId="15" borderId="24" xfId="0" applyNumberFormat="1" applyFont="1" applyFill="1" applyBorder="1" applyAlignment="1">
      <alignment horizontal="center"/>
    </xf>
    <xf numFmtId="1" fontId="45" fillId="15" borderId="25" xfId="0" applyNumberFormat="1" applyFont="1" applyFill="1" applyBorder="1" applyAlignment="1">
      <alignment horizontal="center"/>
    </xf>
    <xf numFmtId="0" fontId="46" fillId="0" borderId="11" xfId="15" applyFont="1" applyFill="1" applyBorder="1" applyAlignment="1">
      <alignment horizontal="center"/>
    </xf>
    <xf numFmtId="0" fontId="13" fillId="9" borderId="26" xfId="0" applyNumberFormat="1" applyFont="1" applyFill="1" applyBorder="1" applyAlignment="1">
      <alignment horizontal="center"/>
    </xf>
    <xf numFmtId="0" fontId="2" fillId="0" borderId="0" xfId="0" applyFont="1"/>
    <xf numFmtId="0" fontId="2" fillId="0" borderId="13" xfId="0" applyFont="1" applyBorder="1" applyAlignment="1">
      <alignment wrapText="1"/>
    </xf>
    <xf numFmtId="0" fontId="2" fillId="0" borderId="13" xfId="0" applyFont="1" applyBorder="1"/>
    <xf numFmtId="0" fontId="2" fillId="0" borderId="0" xfId="0" applyFont="1" applyBorder="1"/>
    <xf numFmtId="0" fontId="47" fillId="0" borderId="0" xfId="15" applyFont="1" applyBorder="1" applyAlignment="1">
      <alignment horizont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48" fillId="0" borderId="11" xfId="15" applyFont="1" applyBorder="1" applyAlignment="1">
      <alignment horizontal="center"/>
    </xf>
    <xf numFmtId="0" fontId="7" fillId="0" borderId="21" xfId="0" applyFont="1" applyFill="1" applyBorder="1" applyAlignment="1">
      <alignment horizontal="left"/>
    </xf>
    <xf numFmtId="0" fontId="46" fillId="0" borderId="28" xfId="15" applyFont="1" applyFill="1" applyBorder="1" applyAlignment="1">
      <alignment horizontal="center"/>
    </xf>
    <xf numFmtId="0" fontId="44" fillId="15" borderId="30" xfId="0" applyFont="1" applyFill="1" applyBorder="1" applyAlignment="1">
      <alignment horizontal="center"/>
    </xf>
    <xf numFmtId="0" fontId="44" fillId="15" borderId="31" xfId="0" applyFont="1" applyFill="1" applyBorder="1" applyAlignment="1">
      <alignment horizontal="left"/>
    </xf>
    <xf numFmtId="0" fontId="50" fillId="0" borderId="0" xfId="0" applyFont="1" applyFill="1" applyProtection="1"/>
    <xf numFmtId="0" fontId="13" fillId="16" borderId="0" xfId="0" applyFont="1" applyFill="1" applyBorder="1" applyProtection="1"/>
    <xf numFmtId="0" fontId="13" fillId="16" borderId="17" xfId="0" applyFont="1" applyFill="1" applyBorder="1" applyProtection="1"/>
    <xf numFmtId="0" fontId="54" fillId="0" borderId="0" xfId="0" applyFont="1" applyFill="1" applyBorder="1"/>
    <xf numFmtId="0" fontId="44" fillId="12" borderId="32" xfId="0" applyFont="1" applyFill="1" applyBorder="1" applyAlignment="1">
      <alignment horizontal="center"/>
    </xf>
    <xf numFmtId="0" fontId="44" fillId="12" borderId="33" xfId="0" applyFont="1" applyFill="1" applyBorder="1" applyAlignment="1">
      <alignment horizontal="left"/>
    </xf>
    <xf numFmtId="0" fontId="44" fillId="12" borderId="34" xfId="0" applyNumberFormat="1" applyFont="1" applyFill="1" applyBorder="1" applyAlignment="1">
      <alignment horizontal="center"/>
    </xf>
    <xf numFmtId="1" fontId="45" fillId="12" borderId="35" xfId="0" applyNumberFormat="1" applyFont="1" applyFill="1" applyBorder="1" applyAlignment="1">
      <alignment horizontal="center"/>
    </xf>
    <xf numFmtId="1" fontId="45" fillId="0" borderId="0" xfId="0" applyNumberFormat="1" applyFont="1" applyFill="1" applyBorder="1" applyAlignment="1">
      <alignment horizontal="center"/>
    </xf>
    <xf numFmtId="0" fontId="44" fillId="0" borderId="0" xfId="0" applyFont="1" applyFill="1" applyBorder="1" applyAlignment="1">
      <alignment horizontal="center"/>
    </xf>
    <xf numFmtId="0" fontId="44" fillId="0" borderId="0" xfId="0" applyFont="1" applyFill="1" applyBorder="1" applyAlignment="1">
      <alignment horizontal="left"/>
    </xf>
    <xf numFmtId="0" fontId="44" fillId="0" borderId="0" xfId="0" applyNumberFormat="1" applyFont="1" applyFill="1" applyBorder="1" applyAlignment="1">
      <alignment horizontal="center"/>
    </xf>
    <xf numFmtId="0" fontId="44" fillId="0" borderId="0" xfId="0" applyNumberFormat="1" applyFont="1" applyFill="1" applyBorder="1" applyAlignment="1">
      <alignment horizontal="left"/>
    </xf>
    <xf numFmtId="0" fontId="52" fillId="0" borderId="0" xfId="15" applyFont="1" applyFill="1"/>
    <xf numFmtId="0" fontId="6" fillId="14" borderId="0" xfId="0" applyFont="1" applyFill="1" applyBorder="1"/>
    <xf numFmtId="0" fontId="55" fillId="0" borderId="0" xfId="0" applyFont="1"/>
    <xf numFmtId="0" fontId="55" fillId="0" borderId="0" xfId="0" applyFont="1" applyAlignment="1">
      <alignment horizontal="center"/>
    </xf>
    <xf numFmtId="0" fontId="56" fillId="0" borderId="0" xfId="0" applyFont="1" applyFill="1" applyAlignment="1">
      <alignment horizontal="right"/>
    </xf>
    <xf numFmtId="0" fontId="57" fillId="9" borderId="10" xfId="0" applyFont="1" applyFill="1" applyBorder="1" applyAlignment="1">
      <alignment horizontal="center"/>
    </xf>
    <xf numFmtId="0" fontId="58" fillId="0" borderId="0" xfId="0" applyFont="1"/>
    <xf numFmtId="0" fontId="55" fillId="0" borderId="0" xfId="0" applyFont="1" applyFill="1" applyAlignment="1">
      <alignment horizontal="center"/>
    </xf>
    <xf numFmtId="0" fontId="58" fillId="0" borderId="0" xfId="0" applyFont="1" applyAlignment="1">
      <alignment horizontal="right"/>
    </xf>
    <xf numFmtId="2" fontId="55" fillId="14" borderId="0" xfId="0" applyNumberFormat="1" applyFont="1" applyFill="1" applyBorder="1" applyAlignment="1">
      <alignment horizontal="center"/>
    </xf>
    <xf numFmtId="0" fontId="58" fillId="0" borderId="0" xfId="0" applyFont="1" applyAlignment="1">
      <alignment horizontal="center"/>
    </xf>
    <xf numFmtId="0" fontId="56" fillId="0" borderId="0" xfId="0" applyFont="1" applyAlignment="1">
      <alignment horizontal="right"/>
    </xf>
    <xf numFmtId="0" fontId="58" fillId="0" borderId="0" xfId="0" applyFont="1" applyFill="1" applyAlignment="1">
      <alignment horizontal="left"/>
    </xf>
    <xf numFmtId="0" fontId="58" fillId="0" borderId="0" xfId="0" applyFont="1" applyAlignment="1">
      <alignment horizontal="left"/>
    </xf>
    <xf numFmtId="1" fontId="55" fillId="0" borderId="0" xfId="0" applyNumberFormat="1" applyFont="1"/>
    <xf numFmtId="0" fontId="55" fillId="0" borderId="0" xfId="0" applyFont="1" applyFill="1"/>
    <xf numFmtId="0" fontId="56" fillId="0" borderId="0" xfId="0" applyFont="1"/>
    <xf numFmtId="0" fontId="56" fillId="0" borderId="0" xfId="0" applyFont="1" applyAlignment="1">
      <alignment horizontal="left"/>
    </xf>
    <xf numFmtId="2" fontId="55" fillId="0" borderId="0" xfId="15" applyNumberFormat="1" applyFont="1" applyBorder="1" applyAlignment="1">
      <alignment horizontal="center"/>
    </xf>
    <xf numFmtId="1" fontId="55" fillId="0" borderId="0" xfId="0" applyNumberFormat="1" applyFont="1" applyFill="1" applyAlignment="1">
      <alignment horizontal="center"/>
    </xf>
    <xf numFmtId="0" fontId="55" fillId="0" borderId="0" xfId="15" applyFont="1" applyBorder="1" applyAlignment="1">
      <alignment horizontal="center"/>
    </xf>
    <xf numFmtId="0" fontId="55" fillId="0" borderId="0" xfId="0" applyFont="1" applyBorder="1"/>
    <xf numFmtId="1" fontId="56" fillId="0" borderId="0" xfId="0" applyNumberFormat="1" applyFont="1"/>
    <xf numFmtId="0" fontId="55" fillId="0" borderId="0" xfId="0" applyFont="1" applyBorder="1" applyAlignment="1">
      <alignment horizontal="center"/>
    </xf>
    <xf numFmtId="0" fontId="58" fillId="0" borderId="0" xfId="0" applyFont="1" applyProtection="1">
      <protection locked="0"/>
    </xf>
    <xf numFmtId="0" fontId="55" fillId="0" borderId="0" xfId="0" applyFont="1" applyFill="1" applyBorder="1" applyAlignment="1"/>
    <xf numFmtId="9" fontId="59" fillId="0" borderId="0" xfId="18" applyNumberFormat="1" applyFont="1" applyAlignment="1">
      <alignment horizontal="left"/>
    </xf>
    <xf numFmtId="0" fontId="55" fillId="0" borderId="0" xfId="0" applyFont="1" applyAlignment="1"/>
    <xf numFmtId="0" fontId="60" fillId="0" borderId="0" xfId="0" applyFont="1"/>
    <xf numFmtId="0" fontId="61" fillId="0" borderId="0" xfId="0" applyFont="1" applyAlignment="1">
      <alignment horizontal="left"/>
    </xf>
    <xf numFmtId="1" fontId="61" fillId="0" borderId="0" xfId="0" applyNumberFormat="1" applyFont="1" applyAlignment="1">
      <alignment horizontal="center"/>
    </xf>
    <xf numFmtId="0" fontId="61" fillId="0" borderId="0" xfId="0" applyFont="1" applyAlignment="1">
      <alignment horizontal="center"/>
    </xf>
    <xf numFmtId="0" fontId="55" fillId="0" borderId="17" xfId="0" applyFont="1" applyBorder="1" applyAlignment="1">
      <alignment horizontal="left"/>
    </xf>
    <xf numFmtId="0" fontId="55" fillId="0" borderId="17" xfId="0" applyFont="1" applyBorder="1"/>
    <xf numFmtId="0" fontId="55" fillId="0" borderId="0" xfId="0" applyFont="1" applyBorder="1" applyAlignment="1" applyProtection="1">
      <alignment horizontal="center"/>
      <protection locked="0"/>
    </xf>
    <xf numFmtId="0" fontId="58" fillId="0" borderId="0" xfId="0" applyFont="1" applyBorder="1" applyAlignment="1">
      <alignment horizontal="center"/>
    </xf>
    <xf numFmtId="0" fontId="55" fillId="0" borderId="0" xfId="0" applyFont="1" applyBorder="1" applyAlignment="1"/>
    <xf numFmtId="0" fontId="55" fillId="0" borderId="0" xfId="0" applyFont="1" applyFill="1" applyAlignment="1" applyProtection="1">
      <alignment horizontal="center"/>
      <protection locked="0"/>
    </xf>
    <xf numFmtId="0" fontId="55" fillId="0" borderId="0" xfId="0" applyFont="1" applyFill="1" applyBorder="1" applyAlignment="1" applyProtection="1">
      <alignment horizontal="center"/>
      <protection locked="0"/>
    </xf>
    <xf numFmtId="0" fontId="55" fillId="0" borderId="0" xfId="0" applyFont="1" applyBorder="1" applyAlignment="1" applyProtection="1">
      <alignment horizontal="left"/>
      <protection locked="0"/>
    </xf>
    <xf numFmtId="0" fontId="55" fillId="0" borderId="0" xfId="0" applyFont="1" applyFill="1" applyBorder="1" applyAlignment="1">
      <alignment horizontal="center"/>
    </xf>
    <xf numFmtId="0" fontId="58" fillId="0" borderId="0" xfId="0" applyFont="1" applyBorder="1"/>
    <xf numFmtId="0" fontId="56" fillId="0" borderId="0" xfId="0" applyFont="1" applyFill="1" applyAlignment="1">
      <alignment horizontal="center"/>
    </xf>
    <xf numFmtId="0" fontId="56" fillId="0" borderId="0" xfId="0" applyFont="1" applyFill="1"/>
    <xf numFmtId="1" fontId="21" fillId="0" borderId="0" xfId="0" applyNumberFormat="1" applyFont="1" applyBorder="1" applyAlignment="1" applyProtection="1"/>
    <xf numFmtId="1" fontId="53" fillId="15" borderId="36" xfId="0" applyNumberFormat="1" applyFont="1" applyFill="1" applyBorder="1" applyAlignment="1"/>
    <xf numFmtId="1" fontId="53" fillId="12" borderId="37" xfId="0" applyNumberFormat="1" applyFont="1" applyFill="1" applyBorder="1" applyAlignment="1"/>
    <xf numFmtId="1" fontId="53" fillId="0" borderId="0" xfId="0" applyNumberFormat="1" applyFont="1" applyFill="1" applyBorder="1" applyAlignment="1"/>
    <xf numFmtId="1" fontId="53" fillId="15" borderId="38" xfId="0" applyNumberFormat="1" applyFont="1" applyFill="1" applyBorder="1" applyAlignment="1"/>
    <xf numFmtId="1" fontId="53" fillId="12" borderId="39" xfId="0" applyNumberFormat="1" applyFont="1" applyFill="1" applyBorder="1" applyAlignment="1"/>
    <xf numFmtId="0" fontId="62" fillId="0" borderId="0" xfId="0" applyFont="1" applyAlignment="1">
      <alignment horizontal="center"/>
    </xf>
    <xf numFmtId="0" fontId="63" fillId="9" borderId="10" xfId="0" applyFont="1" applyFill="1" applyBorder="1" applyAlignment="1">
      <alignment horizontal="center"/>
    </xf>
    <xf numFmtId="0" fontId="62" fillId="0" borderId="0" xfId="0" applyFont="1"/>
    <xf numFmtId="1" fontId="62" fillId="0" borderId="0" xfId="0" applyNumberFormat="1" applyFont="1" applyFill="1" applyAlignment="1">
      <alignment horizontal="center"/>
    </xf>
    <xf numFmtId="1" fontId="64" fillId="0" borderId="0" xfId="0" applyNumberFormat="1" applyFont="1" applyAlignment="1">
      <alignment horizontal="center"/>
    </xf>
    <xf numFmtId="0" fontId="7" fillId="0" borderId="21" xfId="15" applyFont="1" applyBorder="1" applyAlignment="1">
      <alignment horizontal="left"/>
    </xf>
    <xf numFmtId="0" fontId="7" fillId="0" borderId="29" xfId="0" applyFont="1" applyFill="1" applyBorder="1" applyAlignment="1">
      <alignment horizontal="left"/>
    </xf>
    <xf numFmtId="0" fontId="7" fillId="0" borderId="29" xfId="15" applyFont="1" applyBorder="1" applyAlignment="1">
      <alignment horizontal="left"/>
    </xf>
    <xf numFmtId="0" fontId="55" fillId="0" borderId="0" xfId="0" applyFont="1" applyAlignment="1">
      <alignment horizontal="left"/>
    </xf>
    <xf numFmtId="0" fontId="55" fillId="0" borderId="17" xfId="0" applyFont="1" applyFill="1" applyBorder="1"/>
    <xf numFmtId="0" fontId="56" fillId="0" borderId="0" xfId="0" applyFont="1" applyProtection="1">
      <protection locked="0"/>
    </xf>
    <xf numFmtId="0" fontId="55" fillId="14" borderId="27" xfId="0" applyFont="1" applyFill="1" applyBorder="1" applyProtection="1">
      <protection locked="0"/>
    </xf>
    <xf numFmtId="0" fontId="82" fillId="0" borderId="0" xfId="0" applyFont="1"/>
    <xf numFmtId="0" fontId="83" fillId="0" borderId="0" xfId="0" applyFont="1"/>
    <xf numFmtId="0" fontId="83" fillId="0" borderId="0" xfId="0" applyFont="1" applyFill="1" applyBorder="1"/>
    <xf numFmtId="0" fontId="83" fillId="0" borderId="0" xfId="0" applyFont="1" applyBorder="1" applyAlignment="1">
      <alignment horizontal="center"/>
    </xf>
    <xf numFmtId="0" fontId="55" fillId="0" borderId="0" xfId="0" applyFont="1" applyFill="1" applyBorder="1"/>
    <xf numFmtId="0" fontId="58" fillId="0" borderId="22" xfId="0" applyFont="1" applyBorder="1" applyAlignment="1">
      <alignment horizontal="center"/>
    </xf>
    <xf numFmtId="0" fontId="58" fillId="0" borderId="22" xfId="0" applyFont="1" applyBorder="1" applyAlignment="1">
      <alignment horizontal="right"/>
    </xf>
    <xf numFmtId="0" fontId="55" fillId="0" borderId="0" xfId="0" applyFont="1" applyFill="1" applyBorder="1" applyProtection="1">
      <protection locked="0"/>
    </xf>
    <xf numFmtId="0" fontId="58" fillId="0" borderId="0" xfId="0" applyFont="1" applyFill="1" applyBorder="1" applyAlignment="1" applyProtection="1">
      <alignment horizontal="center"/>
      <protection locked="0"/>
    </xf>
    <xf numFmtId="0" fontId="58" fillId="0" borderId="0" xfId="0" applyFont="1" applyFill="1" applyBorder="1" applyAlignment="1" applyProtection="1">
      <alignment horizontal="right"/>
      <protection locked="0"/>
    </xf>
    <xf numFmtId="0" fontId="56" fillId="14" borderId="0" xfId="0" applyFont="1" applyFill="1" applyBorder="1" applyAlignment="1" applyProtection="1">
      <alignment horizontal="left"/>
      <protection locked="0"/>
    </xf>
    <xf numFmtId="0" fontId="85" fillId="0" borderId="0" xfId="0" applyFont="1" applyAlignment="1">
      <alignment horizontal="right"/>
    </xf>
    <xf numFmtId="0" fontId="86" fillId="0" borderId="0" xfId="0" applyFont="1" applyFill="1" applyBorder="1" applyProtection="1">
      <protection locked="0"/>
    </xf>
    <xf numFmtId="0" fontId="58" fillId="0" borderId="0" xfId="0" applyFont="1" applyFill="1" applyBorder="1" applyProtection="1">
      <protection locked="0"/>
    </xf>
    <xf numFmtId="0" fontId="87" fillId="0" borderId="0" xfId="0" applyFont="1" applyFill="1"/>
    <xf numFmtId="0" fontId="55" fillId="0" borderId="0" xfId="0" applyFont="1" applyFill="1" applyBorder="1" applyAlignment="1" applyProtection="1">
      <protection locked="0"/>
    </xf>
    <xf numFmtId="0" fontId="55" fillId="0" borderId="0" xfId="0" applyFont="1" applyProtection="1">
      <protection locked="0"/>
    </xf>
    <xf numFmtId="0" fontId="55" fillId="0" borderId="0" xfId="0" applyFont="1" applyAlignment="1" applyProtection="1">
      <alignment horizontal="center"/>
      <protection locked="0"/>
    </xf>
    <xf numFmtId="0" fontId="58" fillId="0" borderId="0" xfId="0" applyFont="1" applyBorder="1" applyAlignment="1" applyProtection="1">
      <alignment horizontal="center"/>
      <protection locked="0"/>
    </xf>
    <xf numFmtId="0" fontId="55" fillId="0" borderId="0" xfId="0" applyFont="1" applyBorder="1" applyProtection="1">
      <protection locked="0"/>
    </xf>
    <xf numFmtId="0" fontId="83" fillId="0" borderId="0" xfId="0" applyFont="1" applyBorder="1"/>
    <xf numFmtId="0" fontId="55" fillId="0" borderId="0" xfId="0" applyFont="1" applyProtection="1"/>
    <xf numFmtId="0" fontId="58" fillId="13" borderId="0" xfId="0" applyFont="1" applyFill="1" applyProtection="1">
      <protection locked="0"/>
    </xf>
    <xf numFmtId="0" fontId="55" fillId="0" borderId="0" xfId="0" applyFont="1" applyFill="1" applyAlignment="1" applyProtection="1">
      <alignment horizontal="center"/>
    </xf>
    <xf numFmtId="0" fontId="55" fillId="0" borderId="0" xfId="0" applyFont="1" applyBorder="1" applyProtection="1"/>
    <xf numFmtId="0" fontId="55" fillId="13" borderId="0" xfId="0" applyFont="1" applyFill="1" applyBorder="1" applyProtection="1">
      <protection locked="0"/>
    </xf>
    <xf numFmtId="0" fontId="83" fillId="0" borderId="0" xfId="0" applyFont="1" applyProtection="1"/>
    <xf numFmtId="0" fontId="83" fillId="0" borderId="0" xfId="0" applyFont="1" applyFill="1" applyBorder="1" applyAlignment="1" applyProtection="1">
      <alignment horizontal="center"/>
    </xf>
    <xf numFmtId="0" fontId="88" fillId="0" borderId="0" xfId="0" applyFont="1" applyAlignment="1">
      <alignment horizontal="right"/>
    </xf>
    <xf numFmtId="0" fontId="58" fillId="0" borderId="0" xfId="0" applyFont="1" applyProtection="1"/>
    <xf numFmtId="0" fontId="55" fillId="0" borderId="0" xfId="0" applyFont="1" applyFill="1" applyBorder="1" applyAlignment="1" applyProtection="1">
      <alignment horizontal="center"/>
    </xf>
    <xf numFmtId="0" fontId="55" fillId="0" borderId="0" xfId="0" applyFont="1" applyFill="1" applyBorder="1" applyProtection="1"/>
    <xf numFmtId="0" fontId="56" fillId="0" borderId="0" xfId="13" applyFont="1" applyProtection="1">
      <protection locked="0"/>
    </xf>
    <xf numFmtId="0" fontId="56" fillId="14" borderId="0" xfId="13" applyFont="1" applyFill="1" applyBorder="1" applyAlignment="1" applyProtection="1">
      <alignment horizontal="left"/>
      <protection locked="0"/>
    </xf>
    <xf numFmtId="0" fontId="55" fillId="13" borderId="13" xfId="0" applyFont="1" applyFill="1" applyBorder="1" applyProtection="1">
      <protection locked="0"/>
    </xf>
    <xf numFmtId="0" fontId="83" fillId="0" borderId="0" xfId="0" applyFont="1" applyFill="1" applyBorder="1" applyAlignment="1">
      <alignment horizontal="center"/>
    </xf>
    <xf numFmtId="0" fontId="85" fillId="0" borderId="0" xfId="0" applyFont="1" applyFill="1" applyAlignment="1">
      <alignment horizontal="right"/>
    </xf>
    <xf numFmtId="0" fontId="55" fillId="0" borderId="0" xfId="0" applyFont="1" applyFill="1" applyProtection="1">
      <protection locked="0"/>
    </xf>
    <xf numFmtId="0" fontId="58" fillId="0" borderId="0" xfId="0" applyFont="1" applyFill="1" applyBorder="1" applyAlignment="1" applyProtection="1">
      <alignment horizontal="left"/>
      <protection locked="0"/>
    </xf>
    <xf numFmtId="0" fontId="55" fillId="0" borderId="0" xfId="0" applyFont="1" applyFill="1" applyBorder="1" applyAlignment="1" applyProtection="1">
      <alignment horizontal="left"/>
      <protection locked="0"/>
    </xf>
    <xf numFmtId="0" fontId="89" fillId="0" borderId="0" xfId="0" applyFont="1" applyFill="1" applyBorder="1" applyProtection="1">
      <protection locked="0"/>
    </xf>
    <xf numFmtId="0" fontId="89" fillId="0" borderId="0" xfId="0" applyFont="1" applyFill="1" applyBorder="1" applyAlignment="1" applyProtection="1">
      <alignment horizontal="left"/>
      <protection locked="0"/>
    </xf>
    <xf numFmtId="0" fontId="58" fillId="0" borderId="0" xfId="0" applyFont="1" applyFill="1" applyBorder="1" applyAlignment="1" applyProtection="1">
      <protection locked="0"/>
    </xf>
    <xf numFmtId="0" fontId="55" fillId="0" borderId="0" xfId="0" applyFont="1" applyFill="1" applyAlignment="1" applyProtection="1">
      <protection locked="0"/>
    </xf>
    <xf numFmtId="16" fontId="55" fillId="0" borderId="0" xfId="0" quotePrefix="1" applyNumberFormat="1" applyFont="1" applyAlignment="1" applyProtection="1">
      <protection locked="0"/>
    </xf>
    <xf numFmtId="0" fontId="55" fillId="0" borderId="0" xfId="0" applyFont="1" applyAlignment="1" applyProtection="1">
      <protection locked="0"/>
    </xf>
    <xf numFmtId="0" fontId="58" fillId="0" borderId="0" xfId="0" applyFont="1" applyBorder="1" applyAlignment="1" applyProtection="1">
      <protection locked="0"/>
    </xf>
    <xf numFmtId="0" fontId="55" fillId="0" borderId="0" xfId="0" quotePrefix="1" applyFont="1" applyBorder="1" applyAlignment="1" applyProtection="1">
      <alignment horizontal="left"/>
      <protection locked="0"/>
    </xf>
    <xf numFmtId="0" fontId="90" fillId="0" borderId="0" xfId="0" applyFont="1" applyFill="1" applyBorder="1" applyAlignment="1">
      <alignment horizontal="left"/>
    </xf>
    <xf numFmtId="0" fontId="87" fillId="0" borderId="0" xfId="0" applyFont="1" applyFill="1" applyBorder="1" applyAlignment="1">
      <alignment horizontal="left"/>
    </xf>
    <xf numFmtId="0" fontId="55" fillId="0" borderId="0" xfId="0" applyFont="1" applyFill="1" applyBorder="1" applyAlignment="1">
      <alignment horizontal="left"/>
    </xf>
    <xf numFmtId="0" fontId="91" fillId="0" borderId="0" xfId="0" applyFont="1" applyFill="1" applyBorder="1" applyAlignment="1">
      <alignment horizontal="left"/>
    </xf>
    <xf numFmtId="0" fontId="55" fillId="14" borderId="0" xfId="0" applyFont="1" applyFill="1" applyBorder="1" applyProtection="1">
      <protection locked="0"/>
    </xf>
    <xf numFmtId="0" fontId="84" fillId="0" borderId="0" xfId="0" applyFont="1"/>
    <xf numFmtId="0" fontId="56" fillId="0" borderId="0" xfId="0" applyFont="1" applyBorder="1" applyProtection="1">
      <protection locked="0"/>
    </xf>
    <xf numFmtId="0" fontId="91" fillId="0" borderId="0" xfId="0" applyFont="1" applyAlignment="1">
      <alignment horizontal="center"/>
    </xf>
    <xf numFmtId="0" fontId="58" fillId="0" borderId="12" xfId="0" applyFont="1" applyBorder="1" applyAlignment="1">
      <alignment horizontal="center"/>
    </xf>
    <xf numFmtId="0" fontId="55" fillId="0" borderId="12" xfId="0" applyFont="1" applyBorder="1" applyAlignment="1">
      <alignment horizontal="center"/>
    </xf>
    <xf numFmtId="0" fontId="55" fillId="0" borderId="13" xfId="0" applyFont="1" applyBorder="1" applyAlignment="1"/>
    <xf numFmtId="0" fontId="92" fillId="0" borderId="0" xfId="0" applyFont="1" applyFill="1"/>
    <xf numFmtId="0" fontId="92" fillId="0" borderId="0" xfId="0" applyFont="1" applyFill="1" applyProtection="1"/>
    <xf numFmtId="0" fontId="93" fillId="0" borderId="0" xfId="0" applyFont="1" applyFill="1" applyBorder="1"/>
    <xf numFmtId="0" fontId="12" fillId="16" borderId="0" xfId="0" applyFont="1" applyFill="1" applyBorder="1" applyProtection="1"/>
    <xf numFmtId="0" fontId="13" fillId="26" borderId="0" xfId="0" applyFont="1" applyFill="1" applyBorder="1" applyProtection="1"/>
    <xf numFmtId="1" fontId="58" fillId="0" borderId="0" xfId="0" applyNumberFormat="1" applyFont="1" applyAlignment="1">
      <alignment horizontal="right"/>
    </xf>
    <xf numFmtId="1" fontId="58" fillId="0" borderId="0" xfId="0" applyNumberFormat="1" applyFont="1" applyAlignment="1">
      <alignment horizontal="center"/>
    </xf>
    <xf numFmtId="0" fontId="55" fillId="14" borderId="27" xfId="13" applyFont="1" applyFill="1" applyBorder="1" applyProtection="1">
      <protection locked="0"/>
    </xf>
    <xf numFmtId="0" fontId="94" fillId="0" borderId="0" xfId="0" applyFont="1"/>
    <xf numFmtId="0" fontId="96" fillId="0" borderId="0" xfId="0" applyFont="1"/>
    <xf numFmtId="0" fontId="60" fillId="0" borderId="17" xfId="0" applyFont="1" applyBorder="1"/>
    <xf numFmtId="0" fontId="7" fillId="0" borderId="0" xfId="15" applyFont="1" applyFill="1" applyBorder="1" applyAlignment="1">
      <alignment horizontal="center"/>
    </xf>
    <xf numFmtId="0" fontId="6" fillId="14" borderId="17" xfId="0" applyFont="1" applyFill="1" applyBorder="1"/>
    <xf numFmtId="1" fontId="55" fillId="17" borderId="0" xfId="0" applyNumberFormat="1" applyFont="1" applyFill="1" applyAlignment="1">
      <alignment horizontal="center"/>
    </xf>
    <xf numFmtId="1" fontId="55" fillId="18" borderId="0" xfId="0" applyNumberFormat="1" applyFont="1" applyFill="1" applyAlignment="1">
      <alignment horizontal="center"/>
    </xf>
    <xf numFmtId="1" fontId="12" fillId="16" borderId="0" xfId="0" applyNumberFormat="1" applyFont="1" applyFill="1" applyBorder="1" applyProtection="1"/>
    <xf numFmtId="1" fontId="12" fillId="17" borderId="17" xfId="0" applyNumberFormat="1" applyFont="1" applyFill="1" applyBorder="1" applyProtection="1"/>
    <xf numFmtId="1" fontId="12" fillId="0" borderId="0" xfId="0" applyNumberFormat="1" applyFont="1" applyFill="1" applyBorder="1" applyProtection="1"/>
    <xf numFmtId="0" fontId="97" fillId="0" borderId="0" xfId="0" applyFont="1" applyAlignment="1">
      <alignment horizontal="center"/>
    </xf>
    <xf numFmtId="0" fontId="97" fillId="27" borderId="0" xfId="0" applyFont="1" applyFill="1" applyAlignment="1">
      <alignment horizontal="center"/>
    </xf>
    <xf numFmtId="0" fontId="97" fillId="0" borderId="0" xfId="0" applyFont="1" applyFill="1" applyAlignment="1">
      <alignment horizontal="center"/>
    </xf>
    <xf numFmtId="0" fontId="21" fillId="0" borderId="0" xfId="0" applyFont="1" applyFill="1"/>
    <xf numFmtId="1" fontId="12" fillId="0" borderId="0" xfId="0" applyNumberFormat="1" applyFont="1" applyFill="1" applyAlignment="1">
      <alignment horizontal="center"/>
    </xf>
    <xf numFmtId="1" fontId="13" fillId="0" borderId="0" xfId="0" applyNumberFormat="1" applyFont="1" applyFill="1" applyAlignment="1">
      <alignment horizontal="center"/>
    </xf>
    <xf numFmtId="1" fontId="14" fillId="0" borderId="0" xfId="0" applyNumberFormat="1" applyFont="1" applyFill="1" applyAlignment="1">
      <alignment horizontal="center"/>
    </xf>
    <xf numFmtId="1" fontId="11" fillId="0" borderId="0" xfId="0" applyNumberFormat="1" applyFont="1" applyFill="1" applyAlignment="1">
      <alignment horizontal="center"/>
    </xf>
    <xf numFmtId="1" fontId="5" fillId="0" borderId="0" xfId="0" applyNumberFormat="1" applyFont="1" applyFill="1" applyBorder="1"/>
    <xf numFmtId="1" fontId="12" fillId="0" borderId="0" xfId="0" applyNumberFormat="1" applyFont="1" applyFill="1"/>
    <xf numFmtId="1" fontId="5" fillId="0" borderId="0" xfId="0" applyNumberFormat="1" applyFont="1" applyFill="1"/>
    <xf numFmtId="1" fontId="2" fillId="0" borderId="0" xfId="0" applyNumberFormat="1" applyFont="1" applyFill="1"/>
    <xf numFmtId="1" fontId="11" fillId="0" borderId="0" xfId="0" applyNumberFormat="1" applyFont="1" applyFill="1"/>
    <xf numFmtId="1" fontId="3" fillId="0" borderId="0" xfId="0" applyNumberFormat="1" applyFont="1" applyFill="1" applyBorder="1"/>
    <xf numFmtId="1" fontId="21" fillId="0" borderId="0" xfId="0" applyNumberFormat="1" applyFont="1" applyFill="1"/>
    <xf numFmtId="1" fontId="3" fillId="0" borderId="0" xfId="0" applyNumberFormat="1" applyFont="1" applyFill="1"/>
    <xf numFmtId="1" fontId="6" fillId="0" borderId="0" xfId="0" applyNumberFormat="1" applyFont="1" applyFill="1" applyBorder="1"/>
    <xf numFmtId="1" fontId="6" fillId="0" borderId="0" xfId="0" applyNumberFormat="1" applyFont="1" applyFill="1"/>
    <xf numFmtId="0" fontId="98" fillId="0" borderId="21" xfId="0" applyFont="1" applyFill="1" applyBorder="1" applyAlignment="1">
      <alignment horizontal="left"/>
    </xf>
    <xf numFmtId="0" fontId="99" fillId="0" borderId="11" xfId="15" applyFont="1" applyFill="1" applyBorder="1" applyAlignment="1">
      <alignment horizontal="center"/>
    </xf>
    <xf numFmtId="0" fontId="98" fillId="0" borderId="21" xfId="15" applyFont="1" applyBorder="1" applyAlignment="1">
      <alignment horizontal="left"/>
    </xf>
    <xf numFmtId="0" fontId="100" fillId="0" borderId="21" xfId="0" applyFont="1" applyFill="1" applyBorder="1" applyAlignment="1">
      <alignment horizontal="left"/>
    </xf>
    <xf numFmtId="0" fontId="101" fillId="0" borderId="11" xfId="15" applyFont="1" applyFill="1" applyBorder="1" applyAlignment="1">
      <alignment horizontal="center"/>
    </xf>
    <xf numFmtId="0" fontId="100" fillId="0" borderId="21" xfId="15" applyFont="1" applyBorder="1" applyAlignment="1">
      <alignment horizontal="left"/>
    </xf>
    <xf numFmtId="0" fontId="100" fillId="0" borderId="29" xfId="0" applyFont="1" applyFill="1" applyBorder="1" applyAlignment="1">
      <alignment horizontal="left"/>
    </xf>
    <xf numFmtId="0" fontId="101" fillId="0" borderId="28" xfId="15" applyFont="1" applyFill="1" applyBorder="1" applyAlignment="1">
      <alignment horizontal="center"/>
    </xf>
    <xf numFmtId="0" fontId="83" fillId="27" borderId="0" xfId="0" applyFont="1" applyFill="1" applyBorder="1" applyAlignment="1">
      <alignment horizontal="center"/>
    </xf>
  </cellXfs>
  <cellStyles count="39">
    <cellStyle name="Bad" xfId="1"/>
    <cellStyle name="Berekening" xfId="32" builtinId="22" hidden="1"/>
    <cellStyle name="Calculation" xfId="2"/>
    <cellStyle name="Check Cell" xfId="3"/>
    <cellStyle name="Controlecel" xfId="34" builtinId="23" hidden="1"/>
    <cellStyle name="Explanatory Text" xfId="4"/>
    <cellStyle name="Gekoppelde cel" xfId="33" builtinId="24" hidden="1"/>
    <cellStyle name="Goed" xfId="27" builtinId="26" hidden="1"/>
    <cellStyle name="Good" xfId="5"/>
    <cellStyle name="Heading 1" xfId="6"/>
    <cellStyle name="Heading 2" xfId="7"/>
    <cellStyle name="Heading 3" xfId="8"/>
    <cellStyle name="Heading 4" xfId="9"/>
    <cellStyle name="Input" xfId="10"/>
    <cellStyle name="Invoer" xfId="30" builtinId="20" hidden="1"/>
    <cellStyle name="Kop 1" xfId="23" builtinId="16" hidden="1"/>
    <cellStyle name="Kop 2" xfId="24" builtinId="17" hidden="1"/>
    <cellStyle name="Kop 3" xfId="25" builtinId="18" hidden="1"/>
    <cellStyle name="Kop 4" xfId="26" builtinId="19" hidden="1"/>
    <cellStyle name="Linked Cell" xfId="11"/>
    <cellStyle name="Neutraal" xfId="29" builtinId="28" hidden="1"/>
    <cellStyle name="Neutral" xfId="12"/>
    <cellStyle name="Normal 2" xfId="13"/>
    <cellStyle name="Normal 3" xfId="14"/>
    <cellStyle name="Normal_Tour de France 2002-ploegensamenstelling" xfId="15"/>
    <cellStyle name="Note" xfId="16"/>
    <cellStyle name="Notitie" xfId="36" builtinId="10" hidden="1"/>
    <cellStyle name="Ongeldig" xfId="28" builtinId="27" hidden="1"/>
    <cellStyle name="Output" xfId="17"/>
    <cellStyle name="Procent" xfId="18" builtinId="5"/>
    <cellStyle name="Standaard" xfId="0" builtinId="0"/>
    <cellStyle name="Titel" xfId="22" builtinId="15" hidden="1"/>
    <cellStyle name="Title" xfId="19"/>
    <cellStyle name="Totaal" xfId="38" builtinId="25" hidden="1"/>
    <cellStyle name="Total" xfId="20"/>
    <cellStyle name="Uitvoer" xfId="31" builtinId="21" hidden="1"/>
    <cellStyle name="Verklarende tekst" xfId="37" builtinId="53" hidden="1"/>
    <cellStyle name="Waarschuwingstekst" xfId="35" builtinId="11" hidden="1"/>
    <cellStyle name="Warning Text" xfId="21"/>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sharedStrings" Target="sharedStrings.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 Tour de France 2012</a:t>
            </a:r>
          </a:p>
        </c:rich>
      </c:tx>
      <c:layout>
        <c:manualLayout>
          <c:xMode val="edge"/>
          <c:yMode val="edge"/>
          <c:x val="0.3309203722854242"/>
          <c:y val="2.0338983050847428E-2"/>
        </c:manualLayout>
      </c:layout>
      <c:spPr>
        <a:noFill/>
        <a:ln w="25400">
          <a:noFill/>
        </a:ln>
      </c:spPr>
    </c:title>
    <c:plotArea>
      <c:layout>
        <c:manualLayout>
          <c:layoutTarget val="inner"/>
          <c:xMode val="edge"/>
          <c:yMode val="edge"/>
          <c:x val="1.9648397104446741E-2"/>
          <c:y val="0.10508474576271273"/>
          <c:w val="0.92761116856256454"/>
          <c:h val="0.7525423728813555"/>
        </c:manualLayout>
      </c:layout>
      <c:lineChart>
        <c:grouping val="standard"/>
        <c:ser>
          <c:idx val="2"/>
          <c:order val="0"/>
          <c:tx>
            <c:strRef>
              <c:f>Etappes!$AB$22</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Etappes!$AC$22:$AX$22</c:f>
              <c:numCache>
                <c:formatCode>0</c:formatCode>
                <c:ptCount val="22"/>
                <c:pt idx="0">
                  <c:v>1.0367306634902036</c:v>
                </c:pt>
                <c:pt idx="1">
                  <c:v>-8.781451154691581</c:v>
                </c:pt>
                <c:pt idx="2">
                  <c:v>26.854912481672045</c:v>
                </c:pt>
                <c:pt idx="3">
                  <c:v>14.400367027126549</c:v>
                </c:pt>
                <c:pt idx="4">
                  <c:v>36.036730663490175</c:v>
                </c:pt>
                <c:pt idx="5">
                  <c:v>57.309457936217541</c:v>
                </c:pt>
                <c:pt idx="6">
                  <c:v>85.673094299853801</c:v>
                </c:pt>
                <c:pt idx="7">
                  <c:v>116.30945793621777</c:v>
                </c:pt>
                <c:pt idx="8">
                  <c:v>164.30945793621777</c:v>
                </c:pt>
                <c:pt idx="9">
                  <c:v>180.21854884530853</c:v>
                </c:pt>
                <c:pt idx="10">
                  <c:v>202.8549124816725</c:v>
                </c:pt>
                <c:pt idx="11">
                  <c:v>249.94582157258105</c:v>
                </c:pt>
                <c:pt idx="12">
                  <c:v>275.30945793621754</c:v>
                </c:pt>
                <c:pt idx="13">
                  <c:v>317.40036702712655</c:v>
                </c:pt>
                <c:pt idx="14">
                  <c:v>351.03673066349029</c:v>
                </c:pt>
                <c:pt idx="15">
                  <c:v>367.67309429985335</c:v>
                </c:pt>
                <c:pt idx="16">
                  <c:v>363.21854884530831</c:v>
                </c:pt>
                <c:pt idx="17">
                  <c:v>379.67309429985335</c:v>
                </c:pt>
                <c:pt idx="18">
                  <c:v>423.03673066348983</c:v>
                </c:pt>
                <c:pt idx="19">
                  <c:v>426.30945793621731</c:v>
                </c:pt>
                <c:pt idx="20">
                  <c:v>464.40036702712632</c:v>
                </c:pt>
                <c:pt idx="21">
                  <c:v>525.40036702712678</c:v>
                </c:pt>
              </c:numCache>
            </c:numRef>
          </c:val>
        </c:ser>
        <c:ser>
          <c:idx val="1"/>
          <c:order val="1"/>
          <c:tx>
            <c:strRef>
              <c:f>Etappes!$AB$23</c:f>
              <c:strCache>
                <c:ptCount val="1"/>
                <c:pt idx="0">
                  <c:v>City United</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Etappes!$AC$23:$AX$23</c:f>
              <c:numCache>
                <c:formatCode>0</c:formatCode>
                <c:ptCount val="22"/>
                <c:pt idx="0">
                  <c:v>22.105359349243599</c:v>
                </c:pt>
                <c:pt idx="1">
                  <c:v>52.287177531061786</c:v>
                </c:pt>
                <c:pt idx="2">
                  <c:v>77.923541167425469</c:v>
                </c:pt>
                <c:pt idx="3">
                  <c:v>123.46899571287997</c:v>
                </c:pt>
                <c:pt idx="4">
                  <c:v>152.1053593492436</c:v>
                </c:pt>
                <c:pt idx="5">
                  <c:v>180.37808662197097</c:v>
                </c:pt>
                <c:pt idx="6">
                  <c:v>212.74172298560711</c:v>
                </c:pt>
                <c:pt idx="7">
                  <c:v>207.37808662197108</c:v>
                </c:pt>
                <c:pt idx="8">
                  <c:v>220.37808662197108</c:v>
                </c:pt>
                <c:pt idx="9">
                  <c:v>227.28717753106184</c:v>
                </c:pt>
                <c:pt idx="10">
                  <c:v>215.92354116742581</c:v>
                </c:pt>
                <c:pt idx="11">
                  <c:v>222.01445025833436</c:v>
                </c:pt>
                <c:pt idx="12">
                  <c:v>241.37808662197108</c:v>
                </c:pt>
                <c:pt idx="13">
                  <c:v>259.46899571288009</c:v>
                </c:pt>
                <c:pt idx="14">
                  <c:v>263.10535934924383</c:v>
                </c:pt>
                <c:pt idx="15">
                  <c:v>273.74172298560688</c:v>
                </c:pt>
                <c:pt idx="16">
                  <c:v>305.28717753106184</c:v>
                </c:pt>
                <c:pt idx="17">
                  <c:v>283.74172298560688</c:v>
                </c:pt>
                <c:pt idx="18">
                  <c:v>322.10535934924337</c:v>
                </c:pt>
                <c:pt idx="19">
                  <c:v>320.37808662197085</c:v>
                </c:pt>
                <c:pt idx="20">
                  <c:v>353.46899571287986</c:v>
                </c:pt>
                <c:pt idx="21">
                  <c:v>353.46899571288031</c:v>
                </c:pt>
              </c:numCache>
            </c:numRef>
          </c:val>
        </c:ser>
        <c:ser>
          <c:idx val="0"/>
          <c:order val="2"/>
          <c:tx>
            <c:strRef>
              <c:f>Etappes!$AB$24</c:f>
              <c:strCache>
                <c:ptCount val="1"/>
                <c:pt idx="0">
                  <c:v>De Lange Man</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Etappes!$AC$24:$AX$24</c:f>
              <c:numCache>
                <c:formatCode>0</c:formatCode>
                <c:ptCount val="22"/>
                <c:pt idx="0">
                  <c:v>11.148928863092806</c:v>
                </c:pt>
                <c:pt idx="1">
                  <c:v>4.3307470449109928</c:v>
                </c:pt>
                <c:pt idx="2">
                  <c:v>15.967110681274619</c:v>
                </c:pt>
                <c:pt idx="3">
                  <c:v>35.51256522672918</c:v>
                </c:pt>
                <c:pt idx="4">
                  <c:v>34.148928863092806</c:v>
                </c:pt>
                <c:pt idx="5">
                  <c:v>26.421656135820172</c:v>
                </c:pt>
                <c:pt idx="6">
                  <c:v>28.785292499456318</c:v>
                </c:pt>
                <c:pt idx="7">
                  <c:v>19.421656135820285</c:v>
                </c:pt>
                <c:pt idx="8">
                  <c:v>28.421656135820285</c:v>
                </c:pt>
                <c:pt idx="9">
                  <c:v>31.33074704491105</c:v>
                </c:pt>
                <c:pt idx="10">
                  <c:v>55.967110681275017</c:v>
                </c:pt>
                <c:pt idx="11">
                  <c:v>58.05801977218357</c:v>
                </c:pt>
                <c:pt idx="12">
                  <c:v>54.421656135820058</c:v>
                </c:pt>
                <c:pt idx="13">
                  <c:v>69.512565226729066</c:v>
                </c:pt>
                <c:pt idx="14">
                  <c:v>72.148928863092806</c:v>
                </c:pt>
                <c:pt idx="15">
                  <c:v>106.78529249945586</c:v>
                </c:pt>
                <c:pt idx="16">
                  <c:v>135.33074704491082</c:v>
                </c:pt>
                <c:pt idx="17">
                  <c:v>115.78529249945586</c:v>
                </c:pt>
                <c:pt idx="18">
                  <c:v>126.14892886309235</c:v>
                </c:pt>
                <c:pt idx="19">
                  <c:v>126.42165613581983</c:v>
                </c:pt>
                <c:pt idx="20">
                  <c:v>135.51256522672884</c:v>
                </c:pt>
                <c:pt idx="21">
                  <c:v>140.51256522672929</c:v>
                </c:pt>
              </c:numCache>
            </c:numRef>
          </c:val>
        </c:ser>
        <c:ser>
          <c:idx val="6"/>
          <c:order val="3"/>
          <c:tx>
            <c:strRef>
              <c:f>Etappes!$AB$25</c:f>
              <c:strCache>
                <c:ptCount val="1"/>
                <c:pt idx="0">
                  <c:v>Ode Kolonne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Etappes!$AC$25:$AX$25</c:f>
              <c:numCache>
                <c:formatCode>0</c:formatCode>
                <c:ptCount val="22"/>
                <c:pt idx="0">
                  <c:v>29.163154489478643</c:v>
                </c:pt>
                <c:pt idx="1">
                  <c:v>57.34497267129683</c:v>
                </c:pt>
                <c:pt idx="2">
                  <c:v>99.981336307660399</c:v>
                </c:pt>
                <c:pt idx="3">
                  <c:v>118.5267908531149</c:v>
                </c:pt>
                <c:pt idx="4">
                  <c:v>144.16315448947853</c:v>
                </c:pt>
                <c:pt idx="5">
                  <c:v>169.4358817622059</c:v>
                </c:pt>
                <c:pt idx="6">
                  <c:v>187.79951812584204</c:v>
                </c:pt>
                <c:pt idx="7">
                  <c:v>149.43588176220601</c:v>
                </c:pt>
                <c:pt idx="8">
                  <c:v>132.43588176220601</c:v>
                </c:pt>
                <c:pt idx="9">
                  <c:v>114.34497267129677</c:v>
                </c:pt>
                <c:pt idx="10">
                  <c:v>84.98133630766074</c:v>
                </c:pt>
                <c:pt idx="11">
                  <c:v>61.072245398569294</c:v>
                </c:pt>
                <c:pt idx="12">
                  <c:v>63.435881762205781</c:v>
                </c:pt>
                <c:pt idx="13">
                  <c:v>76.52679085311479</c:v>
                </c:pt>
                <c:pt idx="14">
                  <c:v>87.163154489478529</c:v>
                </c:pt>
                <c:pt idx="15">
                  <c:v>89.799518125841587</c:v>
                </c:pt>
                <c:pt idx="16">
                  <c:v>58.344972671296546</c:v>
                </c:pt>
                <c:pt idx="17">
                  <c:v>9.7995181258415869</c:v>
                </c:pt>
                <c:pt idx="18">
                  <c:v>40.163154489478075</c:v>
                </c:pt>
                <c:pt idx="19">
                  <c:v>20.435881762205554</c:v>
                </c:pt>
                <c:pt idx="20">
                  <c:v>45.526790853114562</c:v>
                </c:pt>
                <c:pt idx="21">
                  <c:v>-6.4732091468849831</c:v>
                </c:pt>
              </c:numCache>
            </c:numRef>
          </c:val>
        </c:ser>
        <c:ser>
          <c:idx val="4"/>
          <c:order val="4"/>
          <c:tx>
            <c:strRef>
              <c:f>Etappes!$AB$26</c:f>
              <c:strCache>
                <c:ptCount val="1"/>
                <c:pt idx="0">
                  <c:v>Special Victims Unit</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Etappes!$AC$26:$AX$26</c:f>
              <c:numCache>
                <c:formatCode>0</c:formatCode>
                <c:ptCount val="22"/>
                <c:pt idx="0">
                  <c:v>26.137443388639696</c:v>
                </c:pt>
                <c:pt idx="1">
                  <c:v>58.319261570457911</c:v>
                </c:pt>
                <c:pt idx="2">
                  <c:v>91.955625206821537</c:v>
                </c:pt>
                <c:pt idx="3">
                  <c:v>114.50107975227604</c:v>
                </c:pt>
                <c:pt idx="4">
                  <c:v>141.13744338863967</c:v>
                </c:pt>
                <c:pt idx="5">
                  <c:v>186.41017066136703</c:v>
                </c:pt>
                <c:pt idx="6">
                  <c:v>218.77380702500318</c:v>
                </c:pt>
                <c:pt idx="7">
                  <c:v>241.41017066136715</c:v>
                </c:pt>
                <c:pt idx="8">
                  <c:v>266.41017066136715</c:v>
                </c:pt>
                <c:pt idx="9">
                  <c:v>315.31926157045791</c:v>
                </c:pt>
                <c:pt idx="10">
                  <c:v>330.95562520682188</c:v>
                </c:pt>
                <c:pt idx="11">
                  <c:v>357.04653429773066</c:v>
                </c:pt>
                <c:pt idx="12">
                  <c:v>396.41017066136715</c:v>
                </c:pt>
                <c:pt idx="13">
                  <c:v>434.50107975227615</c:v>
                </c:pt>
                <c:pt idx="14">
                  <c:v>453.13744338863989</c:v>
                </c:pt>
                <c:pt idx="15">
                  <c:v>454.77380702500295</c:v>
                </c:pt>
                <c:pt idx="16">
                  <c:v>476.31926157045791</c:v>
                </c:pt>
                <c:pt idx="17">
                  <c:v>529.77380702500295</c:v>
                </c:pt>
                <c:pt idx="18">
                  <c:v>558.13744338863944</c:v>
                </c:pt>
                <c:pt idx="19">
                  <c:v>596.41017066136692</c:v>
                </c:pt>
                <c:pt idx="20">
                  <c:v>624.50107975227593</c:v>
                </c:pt>
                <c:pt idx="21">
                  <c:v>697.50107975227638</c:v>
                </c:pt>
              </c:numCache>
            </c:numRef>
          </c:val>
        </c:ser>
        <c:ser>
          <c:idx val="3"/>
          <c:order val="5"/>
          <c:tx>
            <c:strRef>
              <c:f>Etappes!$AB$27</c:f>
              <c:strCache>
                <c:ptCount val="1"/>
                <c:pt idx="0">
                  <c:v>IJffjes Boys</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Etappes!$AC$27:$AX$27</c:f>
              <c:numCache>
                <c:formatCode>0</c:formatCode>
                <c:ptCount val="22"/>
                <c:pt idx="0">
                  <c:v>39.051626685732174</c:v>
                </c:pt>
                <c:pt idx="1">
                  <c:v>81.233444867550361</c:v>
                </c:pt>
                <c:pt idx="2">
                  <c:v>53.869808503913987</c:v>
                </c:pt>
                <c:pt idx="3">
                  <c:v>59.415263049368491</c:v>
                </c:pt>
                <c:pt idx="4">
                  <c:v>22.051626685732117</c:v>
                </c:pt>
                <c:pt idx="5">
                  <c:v>-21.675646041540517</c:v>
                </c:pt>
                <c:pt idx="6">
                  <c:v>-60.312009677904371</c:v>
                </c:pt>
                <c:pt idx="7">
                  <c:v>-63.675646041540404</c:v>
                </c:pt>
                <c:pt idx="8">
                  <c:v>-52.675646041540404</c:v>
                </c:pt>
                <c:pt idx="9">
                  <c:v>-59.766555132449639</c:v>
                </c:pt>
                <c:pt idx="10">
                  <c:v>-13.130191496085672</c:v>
                </c:pt>
                <c:pt idx="11">
                  <c:v>-3.0392824051771186</c:v>
                </c:pt>
                <c:pt idx="12">
                  <c:v>-20.675646041540631</c:v>
                </c:pt>
                <c:pt idx="13">
                  <c:v>-43.584736950631623</c:v>
                </c:pt>
                <c:pt idx="14">
                  <c:v>-31.948373314267883</c:v>
                </c:pt>
                <c:pt idx="15">
                  <c:v>-40.312009677904825</c:v>
                </c:pt>
                <c:pt idx="16">
                  <c:v>-26.766555132449867</c:v>
                </c:pt>
                <c:pt idx="17">
                  <c:v>-3.3120096779048254</c:v>
                </c:pt>
                <c:pt idx="18">
                  <c:v>-33.948373314268338</c:v>
                </c:pt>
                <c:pt idx="19">
                  <c:v>-49.675646041540858</c:v>
                </c:pt>
                <c:pt idx="20">
                  <c:v>-50.58473695063185</c:v>
                </c:pt>
                <c:pt idx="21">
                  <c:v>-30.584736950631395</c:v>
                </c:pt>
              </c:numCache>
            </c:numRef>
          </c:val>
        </c:ser>
        <c:ser>
          <c:idx val="7"/>
          <c:order val="6"/>
          <c:tx>
            <c:strRef>
              <c:f>Etappes!$AB$28</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Etappes!$AC$28:$AX$28</c:f>
              <c:numCache>
                <c:formatCode>0</c:formatCode>
                <c:ptCount val="22"/>
                <c:pt idx="0">
                  <c:v>13.027172097398193</c:v>
                </c:pt>
                <c:pt idx="1">
                  <c:v>35.20899027921638</c:v>
                </c:pt>
                <c:pt idx="2">
                  <c:v>27.845353915580006</c:v>
                </c:pt>
                <c:pt idx="3">
                  <c:v>76.390808461034453</c:v>
                </c:pt>
                <c:pt idx="4">
                  <c:v>46.027172097398079</c:v>
                </c:pt>
                <c:pt idx="5">
                  <c:v>12.299899370125445</c:v>
                </c:pt>
                <c:pt idx="6">
                  <c:v>0.66353573376159147</c:v>
                </c:pt>
                <c:pt idx="7">
                  <c:v>-15.700100629874441</c:v>
                </c:pt>
                <c:pt idx="8">
                  <c:v>-55.700100629874441</c:v>
                </c:pt>
                <c:pt idx="9">
                  <c:v>-61.791009720783677</c:v>
                </c:pt>
                <c:pt idx="10">
                  <c:v>-89.15464608441971</c:v>
                </c:pt>
                <c:pt idx="11">
                  <c:v>-136.06373699351116</c:v>
                </c:pt>
                <c:pt idx="12">
                  <c:v>-153.70010062987467</c:v>
                </c:pt>
                <c:pt idx="13">
                  <c:v>-183.60919153896566</c:v>
                </c:pt>
                <c:pt idx="14">
                  <c:v>-203.97282790260192</c:v>
                </c:pt>
                <c:pt idx="15">
                  <c:v>-227.33646426623886</c:v>
                </c:pt>
                <c:pt idx="16">
                  <c:v>-233.79100972078368</c:v>
                </c:pt>
                <c:pt idx="17">
                  <c:v>-240.33646426623864</c:v>
                </c:pt>
                <c:pt idx="18">
                  <c:v>-260.97282790260215</c:v>
                </c:pt>
                <c:pt idx="19">
                  <c:v>-262.70010062987467</c:v>
                </c:pt>
                <c:pt idx="20">
                  <c:v>-287.60919153896566</c:v>
                </c:pt>
                <c:pt idx="21">
                  <c:v>-338.60919153896521</c:v>
                </c:pt>
              </c:numCache>
            </c:numRef>
          </c:val>
        </c:ser>
        <c:ser>
          <c:idx val="8"/>
          <c:order val="7"/>
          <c:tx>
            <c:strRef>
              <c:f>Etappes!$AB$29</c:f>
              <c:strCache>
                <c:ptCount val="1"/>
                <c:pt idx="0">
                  <c:v>Winner on Wheels</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Etappes!$AC$29:$AX$29</c:f>
              <c:numCache>
                <c:formatCode>0</c:formatCode>
                <c:ptCount val="22"/>
                <c:pt idx="0">
                  <c:v>-46.890788239823053</c:v>
                </c:pt>
                <c:pt idx="1">
                  <c:v>-100.70897005800487</c:v>
                </c:pt>
                <c:pt idx="2">
                  <c:v>-122.07260642164124</c:v>
                </c:pt>
                <c:pt idx="3">
                  <c:v>-176.52715187618674</c:v>
                </c:pt>
                <c:pt idx="4">
                  <c:v>-173.89078823982311</c:v>
                </c:pt>
                <c:pt idx="5">
                  <c:v>-157.61806096709574</c:v>
                </c:pt>
                <c:pt idx="6">
                  <c:v>-138.2544246034596</c:v>
                </c:pt>
                <c:pt idx="7">
                  <c:v>-91.618060967095516</c:v>
                </c:pt>
                <c:pt idx="8">
                  <c:v>-48.618060967095516</c:v>
                </c:pt>
                <c:pt idx="9">
                  <c:v>-35.708970058004752</c:v>
                </c:pt>
                <c:pt idx="10">
                  <c:v>-33.072606421640785</c:v>
                </c:pt>
                <c:pt idx="11">
                  <c:v>-7.9816973307322314</c:v>
                </c:pt>
                <c:pt idx="12">
                  <c:v>22.381939032904256</c:v>
                </c:pt>
                <c:pt idx="13">
                  <c:v>27.472848123813264</c:v>
                </c:pt>
                <c:pt idx="14">
                  <c:v>31.109211760177004</c:v>
                </c:pt>
                <c:pt idx="15">
                  <c:v>47.745575396540062</c:v>
                </c:pt>
                <c:pt idx="16">
                  <c:v>39.291029941995021</c:v>
                </c:pt>
                <c:pt idx="17">
                  <c:v>36.745575396540062</c:v>
                </c:pt>
                <c:pt idx="18">
                  <c:v>26.109211760176549</c:v>
                </c:pt>
                <c:pt idx="19">
                  <c:v>40.381939032904029</c:v>
                </c:pt>
                <c:pt idx="20">
                  <c:v>29.472848123813037</c:v>
                </c:pt>
                <c:pt idx="21">
                  <c:v>81.472848123813492</c:v>
                </c:pt>
              </c:numCache>
            </c:numRef>
          </c:val>
        </c:ser>
        <c:ser>
          <c:idx val="9"/>
          <c:order val="8"/>
          <c:tx>
            <c:strRef>
              <c:f>Etappes!$AB$30</c:f>
              <c:strCache>
                <c:ptCount val="1"/>
                <c:pt idx="0">
                  <c:v>Ami</c:v>
                </c:pt>
              </c:strCache>
            </c:strRef>
          </c:tx>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Etappes!$AC$30:$AX$30</c:f>
              <c:numCache>
                <c:formatCode>0</c:formatCode>
                <c:ptCount val="22"/>
                <c:pt idx="0">
                  <c:v>-39.895139595828198</c:v>
                </c:pt>
                <c:pt idx="1">
                  <c:v>-50.713321414010011</c:v>
                </c:pt>
                <c:pt idx="2">
                  <c:v>-84.076957777646385</c:v>
                </c:pt>
                <c:pt idx="3">
                  <c:v>-95.531503232191881</c:v>
                </c:pt>
                <c:pt idx="4">
                  <c:v>-100.89513959582825</c:v>
                </c:pt>
                <c:pt idx="5">
                  <c:v>-109.62241232310089</c:v>
                </c:pt>
                <c:pt idx="6">
                  <c:v>-131.25877595946474</c:v>
                </c:pt>
                <c:pt idx="7">
                  <c:v>-113.62241232310089</c:v>
                </c:pt>
                <c:pt idx="8">
                  <c:v>-123.62241232310089</c:v>
                </c:pt>
                <c:pt idx="9">
                  <c:v>-134.71332141401012</c:v>
                </c:pt>
                <c:pt idx="10">
                  <c:v>-141.07695777764616</c:v>
                </c:pt>
                <c:pt idx="11">
                  <c:v>-97.986048686737604</c:v>
                </c:pt>
                <c:pt idx="12">
                  <c:v>-99.622412323101116</c:v>
                </c:pt>
                <c:pt idx="13">
                  <c:v>-85.531503232192108</c:v>
                </c:pt>
                <c:pt idx="14">
                  <c:v>-92.895139595828368</c:v>
                </c:pt>
                <c:pt idx="15">
                  <c:v>-96.258775959465311</c:v>
                </c:pt>
                <c:pt idx="16">
                  <c:v>-108.71332141401035</c:v>
                </c:pt>
                <c:pt idx="17">
                  <c:v>-86.258775959465311</c:v>
                </c:pt>
                <c:pt idx="18">
                  <c:v>-100.89513959582882</c:v>
                </c:pt>
                <c:pt idx="19">
                  <c:v>-98.622412323101344</c:v>
                </c:pt>
                <c:pt idx="20">
                  <c:v>-100.53150323219234</c:v>
                </c:pt>
                <c:pt idx="21">
                  <c:v>-71.531503232191881</c:v>
                </c:pt>
              </c:numCache>
            </c:numRef>
          </c:val>
        </c:ser>
        <c:ser>
          <c:idx val="5"/>
          <c:order val="9"/>
          <c:tx>
            <c:strRef>
              <c:f>Etappes!$AB$31</c:f>
              <c:strCache>
                <c:ptCount val="1"/>
                <c:pt idx="0">
                  <c:v>Mahawong</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Etappes!$AC$31:$AX$31</c:f>
              <c:numCache>
                <c:formatCode>0</c:formatCode>
                <c:ptCount val="22"/>
                <c:pt idx="0">
                  <c:v>-24.923668173609769</c:v>
                </c:pt>
                <c:pt idx="1">
                  <c:v>-97.741849991791582</c:v>
                </c:pt>
                <c:pt idx="2">
                  <c:v>-118.10548635542796</c:v>
                </c:pt>
                <c:pt idx="3">
                  <c:v>-180.56003180997345</c:v>
                </c:pt>
                <c:pt idx="4">
                  <c:v>-189.92366817360983</c:v>
                </c:pt>
                <c:pt idx="5">
                  <c:v>-194.65094090088246</c:v>
                </c:pt>
                <c:pt idx="6">
                  <c:v>-228.28730453724631</c:v>
                </c:pt>
                <c:pt idx="7">
                  <c:v>-251.65094090088235</c:v>
                </c:pt>
                <c:pt idx="8">
                  <c:v>-298.65094090088223</c:v>
                </c:pt>
                <c:pt idx="9">
                  <c:v>-350.74184999179147</c:v>
                </c:pt>
                <c:pt idx="10">
                  <c:v>-359.1054863554275</c:v>
                </c:pt>
                <c:pt idx="11">
                  <c:v>-373.01457726451895</c:v>
                </c:pt>
                <c:pt idx="12">
                  <c:v>-432.65094090088246</c:v>
                </c:pt>
                <c:pt idx="13">
                  <c:v>-464.56003180997345</c:v>
                </c:pt>
                <c:pt idx="14">
                  <c:v>-495.92366817360971</c:v>
                </c:pt>
                <c:pt idx="15">
                  <c:v>-515.28730453724665</c:v>
                </c:pt>
                <c:pt idx="16">
                  <c:v>-500.7418499917917</c:v>
                </c:pt>
                <c:pt idx="17">
                  <c:v>-522.28730453724665</c:v>
                </c:pt>
                <c:pt idx="18">
                  <c:v>-564.92366817361017</c:v>
                </c:pt>
                <c:pt idx="19">
                  <c:v>-569.65094090088269</c:v>
                </c:pt>
                <c:pt idx="20">
                  <c:v>-624.56003180997368</c:v>
                </c:pt>
                <c:pt idx="21">
                  <c:v>-686.56003180997322</c:v>
                </c:pt>
              </c:numCache>
            </c:numRef>
          </c:val>
        </c:ser>
        <c:ser>
          <c:idx val="10"/>
          <c:order val="10"/>
          <c:tx>
            <c:strRef>
              <c:f>Etappes!$AB$32</c:f>
              <c:strCache>
                <c:ptCount val="1"/>
                <c:pt idx="0">
                  <c:v>Lothars Revenge: Oranje (naar) boven!</c:v>
                </c:pt>
              </c:strCache>
            </c:strRef>
          </c:tx>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Etappes!$AC$32:$AX$32</c:f>
              <c:numCache>
                <c:formatCode>0</c:formatCode>
                <c:ptCount val="22"/>
                <c:pt idx="0">
                  <c:v>-29.96081952781438</c:v>
                </c:pt>
                <c:pt idx="1">
                  <c:v>-30.779001345996221</c:v>
                </c:pt>
                <c:pt idx="2">
                  <c:v>-70.142637709632595</c:v>
                </c:pt>
                <c:pt idx="3">
                  <c:v>-89.597183164178091</c:v>
                </c:pt>
                <c:pt idx="4">
                  <c:v>-110.96081952781446</c:v>
                </c:pt>
                <c:pt idx="5">
                  <c:v>-148.6880922550871</c:v>
                </c:pt>
                <c:pt idx="6">
                  <c:v>-176.32445589145095</c:v>
                </c:pt>
                <c:pt idx="7">
                  <c:v>-197.68809225508699</c:v>
                </c:pt>
                <c:pt idx="8">
                  <c:v>-232.68809225508699</c:v>
                </c:pt>
                <c:pt idx="9">
                  <c:v>-225.77900134599622</c:v>
                </c:pt>
                <c:pt idx="10">
                  <c:v>-255.14263770963225</c:v>
                </c:pt>
                <c:pt idx="11">
                  <c:v>-330.0517286187237</c:v>
                </c:pt>
                <c:pt idx="12">
                  <c:v>-346.68809225508721</c:v>
                </c:pt>
                <c:pt idx="13">
                  <c:v>-407.5971831641782</c:v>
                </c:pt>
                <c:pt idx="14">
                  <c:v>-432.96081952781446</c:v>
                </c:pt>
                <c:pt idx="15">
                  <c:v>-461.32445589145141</c:v>
                </c:pt>
                <c:pt idx="16">
                  <c:v>-507.77900134599645</c:v>
                </c:pt>
                <c:pt idx="17">
                  <c:v>-503.32445589145141</c:v>
                </c:pt>
                <c:pt idx="18">
                  <c:v>-534.96081952781515</c:v>
                </c:pt>
                <c:pt idx="19">
                  <c:v>-549.68809225508767</c:v>
                </c:pt>
                <c:pt idx="20">
                  <c:v>-589.59718316417866</c:v>
                </c:pt>
                <c:pt idx="21">
                  <c:v>-664.5971831641782</c:v>
                </c:pt>
              </c:numCache>
            </c:numRef>
          </c:val>
        </c:ser>
        <c:marker val="1"/>
        <c:axId val="85138816"/>
        <c:axId val="85148800"/>
      </c:lineChart>
      <c:catAx>
        <c:axId val="85138816"/>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5148800"/>
        <c:crosses val="autoZero"/>
        <c:auto val="1"/>
        <c:lblAlgn val="ctr"/>
        <c:lblOffset val="100"/>
        <c:tickLblSkip val="1"/>
        <c:tickMarkSkip val="1"/>
      </c:catAx>
      <c:valAx>
        <c:axId val="85148800"/>
        <c:scaling>
          <c:orientation val="minMax"/>
          <c:max val="700"/>
          <c:min val="-300"/>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8387"/>
              <c:y val="0.26101694915254503"/>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5138816"/>
        <c:crosses val="autoZero"/>
        <c:crossBetween val="midCat"/>
      </c:valAx>
      <c:spPr>
        <a:noFill/>
        <a:ln w="25400">
          <a:noFill/>
        </a:ln>
      </c:spPr>
    </c:plotArea>
    <c:legend>
      <c:legendPos val="r"/>
      <c:layout>
        <c:manualLayout>
          <c:xMode val="edge"/>
          <c:yMode val="edge"/>
          <c:x val="5.5498104102034013E-2"/>
          <c:y val="0.88361581920903964"/>
          <c:w val="0.91007933729070101"/>
          <c:h val="8.7005649717514122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 Tour de France 2012</a:t>
            </a:r>
          </a:p>
        </c:rich>
      </c:tx>
      <c:layout>
        <c:manualLayout>
          <c:xMode val="edge"/>
          <c:yMode val="edge"/>
          <c:x val="0.3309203722854242"/>
          <c:y val="2.0338983050847428E-2"/>
        </c:manualLayout>
      </c:layout>
      <c:spPr>
        <a:noFill/>
        <a:ln w="25400">
          <a:noFill/>
        </a:ln>
      </c:spPr>
    </c:title>
    <c:plotArea>
      <c:layout>
        <c:manualLayout>
          <c:layoutTarget val="inner"/>
          <c:xMode val="edge"/>
          <c:yMode val="edge"/>
          <c:x val="1.9648397104446741E-2"/>
          <c:y val="0.10508474576271275"/>
          <c:w val="0.92761116856256454"/>
          <c:h val="0.7525423728813555"/>
        </c:manualLayout>
      </c:layout>
      <c:lineChart>
        <c:grouping val="standard"/>
        <c:ser>
          <c:idx val="2"/>
          <c:order val="0"/>
          <c:tx>
            <c:strRef>
              <c:f>Etappes!$AB$22</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Etappes!$AC$22:$AX$22</c:f>
              <c:numCache>
                <c:formatCode>0</c:formatCode>
                <c:ptCount val="22"/>
                <c:pt idx="0">
                  <c:v>1.0367306634902036</c:v>
                </c:pt>
                <c:pt idx="1">
                  <c:v>-8.781451154691581</c:v>
                </c:pt>
                <c:pt idx="2">
                  <c:v>26.854912481672045</c:v>
                </c:pt>
                <c:pt idx="3">
                  <c:v>14.400367027126549</c:v>
                </c:pt>
                <c:pt idx="4">
                  <c:v>36.036730663490175</c:v>
                </c:pt>
                <c:pt idx="5">
                  <c:v>57.309457936217541</c:v>
                </c:pt>
                <c:pt idx="6">
                  <c:v>85.673094299853801</c:v>
                </c:pt>
                <c:pt idx="7">
                  <c:v>116.30945793621777</c:v>
                </c:pt>
                <c:pt idx="8">
                  <c:v>164.30945793621777</c:v>
                </c:pt>
                <c:pt idx="9">
                  <c:v>180.21854884530853</c:v>
                </c:pt>
                <c:pt idx="10">
                  <c:v>202.8549124816725</c:v>
                </c:pt>
                <c:pt idx="11">
                  <c:v>249.94582157258105</c:v>
                </c:pt>
                <c:pt idx="12">
                  <c:v>275.30945793621754</c:v>
                </c:pt>
                <c:pt idx="13">
                  <c:v>317.40036702712655</c:v>
                </c:pt>
                <c:pt idx="14">
                  <c:v>351.03673066349029</c:v>
                </c:pt>
                <c:pt idx="15">
                  <c:v>367.67309429985335</c:v>
                </c:pt>
                <c:pt idx="16">
                  <c:v>363.21854884530831</c:v>
                </c:pt>
                <c:pt idx="17">
                  <c:v>379.67309429985335</c:v>
                </c:pt>
                <c:pt idx="18">
                  <c:v>423.03673066348983</c:v>
                </c:pt>
                <c:pt idx="19">
                  <c:v>426.30945793621731</c:v>
                </c:pt>
                <c:pt idx="20">
                  <c:v>464.40036702712632</c:v>
                </c:pt>
                <c:pt idx="21">
                  <c:v>525.40036702712678</c:v>
                </c:pt>
              </c:numCache>
            </c:numRef>
          </c:val>
        </c:ser>
        <c:ser>
          <c:idx val="1"/>
          <c:order val="1"/>
          <c:tx>
            <c:strRef>
              <c:f>Etappes!$AB$23</c:f>
              <c:strCache>
                <c:ptCount val="1"/>
                <c:pt idx="0">
                  <c:v>City United</c:v>
                </c:pt>
              </c:strCache>
            </c:strRef>
          </c:tx>
          <c:spPr>
            <a:ln w="38100">
              <a:solidFill>
                <a:srgbClr val="FF00FF"/>
              </a:solidFill>
              <a:prstDash val="solid"/>
            </a:ln>
          </c:spPr>
          <c:marker>
            <c:symbol val="plus"/>
            <c:size val="5"/>
            <c:spPr>
              <a:noFill/>
              <a:ln>
                <a:solidFill>
                  <a:srgbClr val="FFFF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Etappes!$AC$23:$AX$23</c:f>
              <c:numCache>
                <c:formatCode>0</c:formatCode>
                <c:ptCount val="22"/>
                <c:pt idx="0">
                  <c:v>22.105359349243599</c:v>
                </c:pt>
                <c:pt idx="1">
                  <c:v>52.287177531061786</c:v>
                </c:pt>
                <c:pt idx="2">
                  <c:v>77.923541167425469</c:v>
                </c:pt>
                <c:pt idx="3">
                  <c:v>123.46899571287997</c:v>
                </c:pt>
                <c:pt idx="4">
                  <c:v>152.1053593492436</c:v>
                </c:pt>
                <c:pt idx="5">
                  <c:v>180.37808662197097</c:v>
                </c:pt>
                <c:pt idx="6">
                  <c:v>212.74172298560711</c:v>
                </c:pt>
                <c:pt idx="7">
                  <c:v>207.37808662197108</c:v>
                </c:pt>
                <c:pt idx="8">
                  <c:v>220.37808662197108</c:v>
                </c:pt>
                <c:pt idx="9">
                  <c:v>227.28717753106184</c:v>
                </c:pt>
                <c:pt idx="10">
                  <c:v>215.92354116742581</c:v>
                </c:pt>
                <c:pt idx="11">
                  <c:v>222.01445025833436</c:v>
                </c:pt>
                <c:pt idx="12">
                  <c:v>241.37808662197108</c:v>
                </c:pt>
                <c:pt idx="13">
                  <c:v>259.46899571288009</c:v>
                </c:pt>
                <c:pt idx="14">
                  <c:v>263.10535934924383</c:v>
                </c:pt>
                <c:pt idx="15">
                  <c:v>273.74172298560688</c:v>
                </c:pt>
                <c:pt idx="16">
                  <c:v>305.28717753106184</c:v>
                </c:pt>
                <c:pt idx="17">
                  <c:v>283.74172298560688</c:v>
                </c:pt>
                <c:pt idx="18">
                  <c:v>322.10535934924337</c:v>
                </c:pt>
                <c:pt idx="19">
                  <c:v>320.37808662197085</c:v>
                </c:pt>
                <c:pt idx="20">
                  <c:v>353.46899571287986</c:v>
                </c:pt>
                <c:pt idx="21">
                  <c:v>353.46899571288031</c:v>
                </c:pt>
              </c:numCache>
            </c:numRef>
          </c:val>
        </c:ser>
        <c:ser>
          <c:idx val="0"/>
          <c:order val="2"/>
          <c:tx>
            <c:strRef>
              <c:f>Etappes!$AB$24</c:f>
              <c:strCache>
                <c:ptCount val="1"/>
                <c:pt idx="0">
                  <c:v>De Lange Man</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Etappes!$AC$24:$AX$24</c:f>
              <c:numCache>
                <c:formatCode>0</c:formatCode>
                <c:ptCount val="22"/>
                <c:pt idx="0">
                  <c:v>11.148928863092806</c:v>
                </c:pt>
                <c:pt idx="1">
                  <c:v>4.3307470449109928</c:v>
                </c:pt>
                <c:pt idx="2">
                  <c:v>15.967110681274619</c:v>
                </c:pt>
                <c:pt idx="3">
                  <c:v>35.51256522672918</c:v>
                </c:pt>
                <c:pt idx="4">
                  <c:v>34.148928863092806</c:v>
                </c:pt>
                <c:pt idx="5">
                  <c:v>26.421656135820172</c:v>
                </c:pt>
                <c:pt idx="6">
                  <c:v>28.785292499456318</c:v>
                </c:pt>
                <c:pt idx="7">
                  <c:v>19.421656135820285</c:v>
                </c:pt>
                <c:pt idx="8">
                  <c:v>28.421656135820285</c:v>
                </c:pt>
                <c:pt idx="9">
                  <c:v>31.33074704491105</c:v>
                </c:pt>
                <c:pt idx="10">
                  <c:v>55.967110681275017</c:v>
                </c:pt>
                <c:pt idx="11">
                  <c:v>58.05801977218357</c:v>
                </c:pt>
                <c:pt idx="12">
                  <c:v>54.421656135820058</c:v>
                </c:pt>
                <c:pt idx="13">
                  <c:v>69.512565226729066</c:v>
                </c:pt>
                <c:pt idx="14">
                  <c:v>72.148928863092806</c:v>
                </c:pt>
                <c:pt idx="15">
                  <c:v>106.78529249945586</c:v>
                </c:pt>
                <c:pt idx="16">
                  <c:v>135.33074704491082</c:v>
                </c:pt>
                <c:pt idx="17">
                  <c:v>115.78529249945586</c:v>
                </c:pt>
                <c:pt idx="18">
                  <c:v>126.14892886309235</c:v>
                </c:pt>
                <c:pt idx="19">
                  <c:v>126.42165613581983</c:v>
                </c:pt>
                <c:pt idx="20">
                  <c:v>135.51256522672884</c:v>
                </c:pt>
                <c:pt idx="21">
                  <c:v>140.51256522672929</c:v>
                </c:pt>
              </c:numCache>
            </c:numRef>
          </c:val>
        </c:ser>
        <c:ser>
          <c:idx val="6"/>
          <c:order val="3"/>
          <c:tx>
            <c:strRef>
              <c:f>Etappes!$AB$25</c:f>
              <c:strCache>
                <c:ptCount val="1"/>
                <c:pt idx="0">
                  <c:v>Ode Kolonne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Etappes!$AC$25:$AX$25</c:f>
              <c:numCache>
                <c:formatCode>0</c:formatCode>
                <c:ptCount val="22"/>
                <c:pt idx="0">
                  <c:v>29.163154489478643</c:v>
                </c:pt>
                <c:pt idx="1">
                  <c:v>57.34497267129683</c:v>
                </c:pt>
                <c:pt idx="2">
                  <c:v>99.981336307660399</c:v>
                </c:pt>
                <c:pt idx="3">
                  <c:v>118.5267908531149</c:v>
                </c:pt>
                <c:pt idx="4">
                  <c:v>144.16315448947853</c:v>
                </c:pt>
                <c:pt idx="5">
                  <c:v>169.4358817622059</c:v>
                </c:pt>
                <c:pt idx="6">
                  <c:v>187.79951812584204</c:v>
                </c:pt>
                <c:pt idx="7">
                  <c:v>149.43588176220601</c:v>
                </c:pt>
                <c:pt idx="8">
                  <c:v>132.43588176220601</c:v>
                </c:pt>
                <c:pt idx="9">
                  <c:v>114.34497267129677</c:v>
                </c:pt>
                <c:pt idx="10">
                  <c:v>84.98133630766074</c:v>
                </c:pt>
                <c:pt idx="11">
                  <c:v>61.072245398569294</c:v>
                </c:pt>
                <c:pt idx="12">
                  <c:v>63.435881762205781</c:v>
                </c:pt>
                <c:pt idx="13">
                  <c:v>76.52679085311479</c:v>
                </c:pt>
                <c:pt idx="14">
                  <c:v>87.163154489478529</c:v>
                </c:pt>
                <c:pt idx="15">
                  <c:v>89.799518125841587</c:v>
                </c:pt>
                <c:pt idx="16">
                  <c:v>58.344972671296546</c:v>
                </c:pt>
                <c:pt idx="17">
                  <c:v>9.7995181258415869</c:v>
                </c:pt>
                <c:pt idx="18">
                  <c:v>40.163154489478075</c:v>
                </c:pt>
                <c:pt idx="19">
                  <c:v>20.435881762205554</c:v>
                </c:pt>
                <c:pt idx="20">
                  <c:v>45.526790853114562</c:v>
                </c:pt>
                <c:pt idx="21">
                  <c:v>-6.4732091468849831</c:v>
                </c:pt>
              </c:numCache>
            </c:numRef>
          </c:val>
        </c:ser>
        <c:ser>
          <c:idx val="4"/>
          <c:order val="4"/>
          <c:tx>
            <c:strRef>
              <c:f>Etappes!$AB$26</c:f>
              <c:strCache>
                <c:ptCount val="1"/>
                <c:pt idx="0">
                  <c:v>Special Victims Unit</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Etappes!$AC$26:$AX$26</c:f>
              <c:numCache>
                <c:formatCode>0</c:formatCode>
                <c:ptCount val="22"/>
                <c:pt idx="0">
                  <c:v>26.137443388639696</c:v>
                </c:pt>
                <c:pt idx="1">
                  <c:v>58.319261570457911</c:v>
                </c:pt>
                <c:pt idx="2">
                  <c:v>91.955625206821537</c:v>
                </c:pt>
                <c:pt idx="3">
                  <c:v>114.50107975227604</c:v>
                </c:pt>
                <c:pt idx="4">
                  <c:v>141.13744338863967</c:v>
                </c:pt>
                <c:pt idx="5">
                  <c:v>186.41017066136703</c:v>
                </c:pt>
                <c:pt idx="6">
                  <c:v>218.77380702500318</c:v>
                </c:pt>
                <c:pt idx="7">
                  <c:v>241.41017066136715</c:v>
                </c:pt>
                <c:pt idx="8">
                  <c:v>266.41017066136715</c:v>
                </c:pt>
                <c:pt idx="9">
                  <c:v>315.31926157045791</c:v>
                </c:pt>
                <c:pt idx="10">
                  <c:v>330.95562520682188</c:v>
                </c:pt>
                <c:pt idx="11">
                  <c:v>357.04653429773066</c:v>
                </c:pt>
                <c:pt idx="12">
                  <c:v>396.41017066136715</c:v>
                </c:pt>
                <c:pt idx="13">
                  <c:v>434.50107975227615</c:v>
                </c:pt>
                <c:pt idx="14">
                  <c:v>453.13744338863989</c:v>
                </c:pt>
                <c:pt idx="15">
                  <c:v>454.77380702500295</c:v>
                </c:pt>
                <c:pt idx="16">
                  <c:v>476.31926157045791</c:v>
                </c:pt>
                <c:pt idx="17">
                  <c:v>529.77380702500295</c:v>
                </c:pt>
                <c:pt idx="18">
                  <c:v>558.13744338863944</c:v>
                </c:pt>
                <c:pt idx="19">
                  <c:v>596.41017066136692</c:v>
                </c:pt>
                <c:pt idx="20">
                  <c:v>624.50107975227593</c:v>
                </c:pt>
                <c:pt idx="21">
                  <c:v>697.50107975227638</c:v>
                </c:pt>
              </c:numCache>
            </c:numRef>
          </c:val>
        </c:ser>
        <c:ser>
          <c:idx val="3"/>
          <c:order val="5"/>
          <c:tx>
            <c:strRef>
              <c:f>Etappes!$AB$27</c:f>
              <c:strCache>
                <c:ptCount val="1"/>
                <c:pt idx="0">
                  <c:v>IJffjes Boys</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Etappes!$AC$27:$AX$27</c:f>
              <c:numCache>
                <c:formatCode>0</c:formatCode>
                <c:ptCount val="22"/>
                <c:pt idx="0">
                  <c:v>39.051626685732174</c:v>
                </c:pt>
                <c:pt idx="1">
                  <c:v>81.233444867550361</c:v>
                </c:pt>
                <c:pt idx="2">
                  <c:v>53.869808503913987</c:v>
                </c:pt>
                <c:pt idx="3">
                  <c:v>59.415263049368491</c:v>
                </c:pt>
                <c:pt idx="4">
                  <c:v>22.051626685732117</c:v>
                </c:pt>
                <c:pt idx="5">
                  <c:v>-21.675646041540517</c:v>
                </c:pt>
                <c:pt idx="6">
                  <c:v>-60.312009677904371</c:v>
                </c:pt>
                <c:pt idx="7">
                  <c:v>-63.675646041540404</c:v>
                </c:pt>
                <c:pt idx="8">
                  <c:v>-52.675646041540404</c:v>
                </c:pt>
                <c:pt idx="9">
                  <c:v>-59.766555132449639</c:v>
                </c:pt>
                <c:pt idx="10">
                  <c:v>-13.130191496085672</c:v>
                </c:pt>
                <c:pt idx="11">
                  <c:v>-3.0392824051771186</c:v>
                </c:pt>
                <c:pt idx="12">
                  <c:v>-20.675646041540631</c:v>
                </c:pt>
                <c:pt idx="13">
                  <c:v>-43.584736950631623</c:v>
                </c:pt>
                <c:pt idx="14">
                  <c:v>-31.948373314267883</c:v>
                </c:pt>
                <c:pt idx="15">
                  <c:v>-40.312009677904825</c:v>
                </c:pt>
                <c:pt idx="16">
                  <c:v>-26.766555132449867</c:v>
                </c:pt>
                <c:pt idx="17">
                  <c:v>-3.3120096779048254</c:v>
                </c:pt>
                <c:pt idx="18">
                  <c:v>-33.948373314268338</c:v>
                </c:pt>
                <c:pt idx="19">
                  <c:v>-49.675646041540858</c:v>
                </c:pt>
                <c:pt idx="20">
                  <c:v>-50.58473695063185</c:v>
                </c:pt>
                <c:pt idx="21">
                  <c:v>-30.584736950631395</c:v>
                </c:pt>
              </c:numCache>
            </c:numRef>
          </c:val>
        </c:ser>
        <c:ser>
          <c:idx val="7"/>
          <c:order val="6"/>
          <c:tx>
            <c:strRef>
              <c:f>Etappes!$AB$28</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Etappes!$AC$28:$AX$28</c:f>
              <c:numCache>
                <c:formatCode>0</c:formatCode>
                <c:ptCount val="22"/>
                <c:pt idx="0">
                  <c:v>13.027172097398193</c:v>
                </c:pt>
                <c:pt idx="1">
                  <c:v>35.20899027921638</c:v>
                </c:pt>
                <c:pt idx="2">
                  <c:v>27.845353915580006</c:v>
                </c:pt>
                <c:pt idx="3">
                  <c:v>76.390808461034453</c:v>
                </c:pt>
                <c:pt idx="4">
                  <c:v>46.027172097398079</c:v>
                </c:pt>
                <c:pt idx="5">
                  <c:v>12.299899370125445</c:v>
                </c:pt>
                <c:pt idx="6">
                  <c:v>0.66353573376159147</c:v>
                </c:pt>
                <c:pt idx="7">
                  <c:v>-15.700100629874441</c:v>
                </c:pt>
                <c:pt idx="8">
                  <c:v>-55.700100629874441</c:v>
                </c:pt>
                <c:pt idx="9">
                  <c:v>-61.791009720783677</c:v>
                </c:pt>
                <c:pt idx="10">
                  <c:v>-89.15464608441971</c:v>
                </c:pt>
                <c:pt idx="11">
                  <c:v>-136.06373699351116</c:v>
                </c:pt>
                <c:pt idx="12">
                  <c:v>-153.70010062987467</c:v>
                </c:pt>
                <c:pt idx="13">
                  <c:v>-183.60919153896566</c:v>
                </c:pt>
                <c:pt idx="14">
                  <c:v>-203.97282790260192</c:v>
                </c:pt>
                <c:pt idx="15">
                  <c:v>-227.33646426623886</c:v>
                </c:pt>
                <c:pt idx="16">
                  <c:v>-233.79100972078368</c:v>
                </c:pt>
                <c:pt idx="17">
                  <c:v>-240.33646426623864</c:v>
                </c:pt>
                <c:pt idx="18">
                  <c:v>-260.97282790260215</c:v>
                </c:pt>
                <c:pt idx="19">
                  <c:v>-262.70010062987467</c:v>
                </c:pt>
                <c:pt idx="20">
                  <c:v>-287.60919153896566</c:v>
                </c:pt>
                <c:pt idx="21">
                  <c:v>-338.60919153896521</c:v>
                </c:pt>
              </c:numCache>
            </c:numRef>
          </c:val>
        </c:ser>
        <c:ser>
          <c:idx val="8"/>
          <c:order val="7"/>
          <c:tx>
            <c:strRef>
              <c:f>Etappes!$AB$29</c:f>
              <c:strCache>
                <c:ptCount val="1"/>
                <c:pt idx="0">
                  <c:v>Winner on Wheels</c:v>
                </c:pt>
              </c:strCache>
            </c:strRef>
          </c:tx>
          <c:spPr>
            <a:ln w="25400">
              <a:solidFill>
                <a:srgbClr val="FF9900"/>
              </a:solidFill>
              <a:prstDash val="solid"/>
            </a:ln>
          </c:spPr>
          <c:marker>
            <c:symbol val="dash"/>
            <c:size val="7"/>
            <c:spPr>
              <a:noFill/>
              <a:ln>
                <a:solidFill>
                  <a:srgbClr val="00CCFF"/>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Etappes!$AC$29:$AX$29</c:f>
              <c:numCache>
                <c:formatCode>0</c:formatCode>
                <c:ptCount val="22"/>
                <c:pt idx="0">
                  <c:v>-46.890788239823053</c:v>
                </c:pt>
                <c:pt idx="1">
                  <c:v>-100.70897005800487</c:v>
                </c:pt>
                <c:pt idx="2">
                  <c:v>-122.07260642164124</c:v>
                </c:pt>
                <c:pt idx="3">
                  <c:v>-176.52715187618674</c:v>
                </c:pt>
                <c:pt idx="4">
                  <c:v>-173.89078823982311</c:v>
                </c:pt>
                <c:pt idx="5">
                  <c:v>-157.61806096709574</c:v>
                </c:pt>
                <c:pt idx="6">
                  <c:v>-138.2544246034596</c:v>
                </c:pt>
                <c:pt idx="7">
                  <c:v>-91.618060967095516</c:v>
                </c:pt>
                <c:pt idx="8">
                  <c:v>-48.618060967095516</c:v>
                </c:pt>
                <c:pt idx="9">
                  <c:v>-35.708970058004752</c:v>
                </c:pt>
                <c:pt idx="10">
                  <c:v>-33.072606421640785</c:v>
                </c:pt>
                <c:pt idx="11">
                  <c:v>-7.9816973307322314</c:v>
                </c:pt>
                <c:pt idx="12">
                  <c:v>22.381939032904256</c:v>
                </c:pt>
                <c:pt idx="13">
                  <c:v>27.472848123813264</c:v>
                </c:pt>
                <c:pt idx="14">
                  <c:v>31.109211760177004</c:v>
                </c:pt>
                <c:pt idx="15">
                  <c:v>47.745575396540062</c:v>
                </c:pt>
                <c:pt idx="16">
                  <c:v>39.291029941995021</c:v>
                </c:pt>
                <c:pt idx="17">
                  <c:v>36.745575396540062</c:v>
                </c:pt>
                <c:pt idx="18">
                  <c:v>26.109211760176549</c:v>
                </c:pt>
                <c:pt idx="19">
                  <c:v>40.381939032904029</c:v>
                </c:pt>
                <c:pt idx="20">
                  <c:v>29.472848123813037</c:v>
                </c:pt>
                <c:pt idx="21">
                  <c:v>81.472848123813492</c:v>
                </c:pt>
              </c:numCache>
            </c:numRef>
          </c:val>
        </c:ser>
        <c:ser>
          <c:idx val="9"/>
          <c:order val="8"/>
          <c:tx>
            <c:strRef>
              <c:f>Etappes!$AB$30</c:f>
              <c:strCache>
                <c:ptCount val="1"/>
                <c:pt idx="0">
                  <c:v>Ami</c:v>
                </c:pt>
              </c:strCache>
            </c:strRef>
          </c:tx>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Etappes!$AC$30:$AX$30</c:f>
              <c:numCache>
                <c:formatCode>0</c:formatCode>
                <c:ptCount val="22"/>
                <c:pt idx="0">
                  <c:v>-39.895139595828198</c:v>
                </c:pt>
                <c:pt idx="1">
                  <c:v>-50.713321414010011</c:v>
                </c:pt>
                <c:pt idx="2">
                  <c:v>-84.076957777646385</c:v>
                </c:pt>
                <c:pt idx="3">
                  <c:v>-95.531503232191881</c:v>
                </c:pt>
                <c:pt idx="4">
                  <c:v>-100.89513959582825</c:v>
                </c:pt>
                <c:pt idx="5">
                  <c:v>-109.62241232310089</c:v>
                </c:pt>
                <c:pt idx="6">
                  <c:v>-131.25877595946474</c:v>
                </c:pt>
                <c:pt idx="7">
                  <c:v>-113.62241232310089</c:v>
                </c:pt>
                <c:pt idx="8">
                  <c:v>-123.62241232310089</c:v>
                </c:pt>
                <c:pt idx="9">
                  <c:v>-134.71332141401012</c:v>
                </c:pt>
                <c:pt idx="10">
                  <c:v>-141.07695777764616</c:v>
                </c:pt>
                <c:pt idx="11">
                  <c:v>-97.986048686737604</c:v>
                </c:pt>
                <c:pt idx="12">
                  <c:v>-99.622412323101116</c:v>
                </c:pt>
                <c:pt idx="13">
                  <c:v>-85.531503232192108</c:v>
                </c:pt>
                <c:pt idx="14">
                  <c:v>-92.895139595828368</c:v>
                </c:pt>
                <c:pt idx="15">
                  <c:v>-96.258775959465311</c:v>
                </c:pt>
                <c:pt idx="16">
                  <c:v>-108.71332141401035</c:v>
                </c:pt>
                <c:pt idx="17">
                  <c:v>-86.258775959465311</c:v>
                </c:pt>
                <c:pt idx="18">
                  <c:v>-100.89513959582882</c:v>
                </c:pt>
                <c:pt idx="19">
                  <c:v>-98.622412323101344</c:v>
                </c:pt>
                <c:pt idx="20">
                  <c:v>-100.53150323219234</c:v>
                </c:pt>
                <c:pt idx="21">
                  <c:v>-71.531503232191881</c:v>
                </c:pt>
              </c:numCache>
            </c:numRef>
          </c:val>
        </c:ser>
        <c:ser>
          <c:idx val="5"/>
          <c:order val="9"/>
          <c:tx>
            <c:strRef>
              <c:f>Etappes!$AB$31</c:f>
              <c:strCache>
                <c:ptCount val="1"/>
                <c:pt idx="0">
                  <c:v>Mahawong</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Etappes!$AC$31:$AX$31</c:f>
              <c:numCache>
                <c:formatCode>0</c:formatCode>
                <c:ptCount val="22"/>
                <c:pt idx="0">
                  <c:v>-24.923668173609769</c:v>
                </c:pt>
                <c:pt idx="1">
                  <c:v>-97.741849991791582</c:v>
                </c:pt>
                <c:pt idx="2">
                  <c:v>-118.10548635542796</c:v>
                </c:pt>
                <c:pt idx="3">
                  <c:v>-180.56003180997345</c:v>
                </c:pt>
                <c:pt idx="4">
                  <c:v>-189.92366817360983</c:v>
                </c:pt>
                <c:pt idx="5">
                  <c:v>-194.65094090088246</c:v>
                </c:pt>
                <c:pt idx="6">
                  <c:v>-228.28730453724631</c:v>
                </c:pt>
                <c:pt idx="7">
                  <c:v>-251.65094090088235</c:v>
                </c:pt>
                <c:pt idx="8">
                  <c:v>-298.65094090088223</c:v>
                </c:pt>
                <c:pt idx="9">
                  <c:v>-350.74184999179147</c:v>
                </c:pt>
                <c:pt idx="10">
                  <c:v>-359.1054863554275</c:v>
                </c:pt>
                <c:pt idx="11">
                  <c:v>-373.01457726451895</c:v>
                </c:pt>
                <c:pt idx="12">
                  <c:v>-432.65094090088246</c:v>
                </c:pt>
                <c:pt idx="13">
                  <c:v>-464.56003180997345</c:v>
                </c:pt>
                <c:pt idx="14">
                  <c:v>-495.92366817360971</c:v>
                </c:pt>
                <c:pt idx="15">
                  <c:v>-515.28730453724665</c:v>
                </c:pt>
                <c:pt idx="16">
                  <c:v>-500.7418499917917</c:v>
                </c:pt>
                <c:pt idx="17">
                  <c:v>-522.28730453724665</c:v>
                </c:pt>
                <c:pt idx="18">
                  <c:v>-564.92366817361017</c:v>
                </c:pt>
                <c:pt idx="19">
                  <c:v>-569.65094090088269</c:v>
                </c:pt>
                <c:pt idx="20">
                  <c:v>-624.56003180997368</c:v>
                </c:pt>
                <c:pt idx="21">
                  <c:v>-686.56003180997322</c:v>
                </c:pt>
              </c:numCache>
            </c:numRef>
          </c:val>
        </c:ser>
        <c:ser>
          <c:idx val="10"/>
          <c:order val="10"/>
          <c:tx>
            <c:strRef>
              <c:f>Etappes!$AB$32</c:f>
              <c:strCache>
                <c:ptCount val="1"/>
                <c:pt idx="0">
                  <c:v>Lothars Revenge: Oranje (naar) boven!</c:v>
                </c:pt>
              </c:strCache>
            </c:strRef>
          </c:tx>
          <c:cat>
            <c:strRef>
              <c:f>Etappes!$AC$21:$AX$21</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Etappes!$AC$32:$AX$32</c:f>
              <c:numCache>
                <c:formatCode>0</c:formatCode>
                <c:ptCount val="22"/>
                <c:pt idx="0">
                  <c:v>-29.96081952781438</c:v>
                </c:pt>
                <c:pt idx="1">
                  <c:v>-30.779001345996221</c:v>
                </c:pt>
                <c:pt idx="2">
                  <c:v>-70.142637709632595</c:v>
                </c:pt>
                <c:pt idx="3">
                  <c:v>-89.597183164178091</c:v>
                </c:pt>
                <c:pt idx="4">
                  <c:v>-110.96081952781446</c:v>
                </c:pt>
                <c:pt idx="5">
                  <c:v>-148.6880922550871</c:v>
                </c:pt>
                <c:pt idx="6">
                  <c:v>-176.32445589145095</c:v>
                </c:pt>
                <c:pt idx="7">
                  <c:v>-197.68809225508699</c:v>
                </c:pt>
                <c:pt idx="8">
                  <c:v>-232.68809225508699</c:v>
                </c:pt>
                <c:pt idx="9">
                  <c:v>-225.77900134599622</c:v>
                </c:pt>
                <c:pt idx="10">
                  <c:v>-255.14263770963225</c:v>
                </c:pt>
                <c:pt idx="11">
                  <c:v>-330.0517286187237</c:v>
                </c:pt>
                <c:pt idx="12">
                  <c:v>-346.68809225508721</c:v>
                </c:pt>
                <c:pt idx="13">
                  <c:v>-407.5971831641782</c:v>
                </c:pt>
                <c:pt idx="14">
                  <c:v>-432.96081952781446</c:v>
                </c:pt>
                <c:pt idx="15">
                  <c:v>-461.32445589145141</c:v>
                </c:pt>
                <c:pt idx="16">
                  <c:v>-507.77900134599645</c:v>
                </c:pt>
                <c:pt idx="17">
                  <c:v>-503.32445589145141</c:v>
                </c:pt>
                <c:pt idx="18">
                  <c:v>-534.96081952781515</c:v>
                </c:pt>
                <c:pt idx="19">
                  <c:v>-549.68809225508767</c:v>
                </c:pt>
                <c:pt idx="20">
                  <c:v>-589.59718316417866</c:v>
                </c:pt>
                <c:pt idx="21">
                  <c:v>-664.5971831641782</c:v>
                </c:pt>
              </c:numCache>
            </c:numRef>
          </c:val>
        </c:ser>
        <c:marker val="1"/>
        <c:axId val="89352064"/>
        <c:axId val="89353600"/>
      </c:lineChart>
      <c:catAx>
        <c:axId val="89352064"/>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9353600"/>
        <c:crosses val="autoZero"/>
        <c:auto val="1"/>
        <c:lblAlgn val="ctr"/>
        <c:lblOffset val="100"/>
        <c:tickLblSkip val="1"/>
        <c:tickMarkSkip val="1"/>
      </c:catAx>
      <c:valAx>
        <c:axId val="89353600"/>
        <c:scaling>
          <c:orientation val="minMax"/>
          <c:max val="0"/>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8387"/>
              <c:y val="0.26101694915254503"/>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9352064"/>
        <c:crosses val="autoZero"/>
        <c:crossBetween val="midCat"/>
        <c:majorUnit val="50"/>
      </c:valAx>
      <c:spPr>
        <a:noFill/>
        <a:ln w="25400">
          <a:noFill/>
        </a:ln>
      </c:spPr>
    </c:plotArea>
    <c:legend>
      <c:legendPos val="r"/>
      <c:layout>
        <c:manualLayout>
          <c:xMode val="edge"/>
          <c:yMode val="edge"/>
          <c:x val="4.8603929679420892E-2"/>
          <c:y val="0.90169491525423762"/>
          <c:w val="0.22893490433654429"/>
          <c:h val="9.8305084745762744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1" u="none" strike="noStrike" baseline="0">
                <a:solidFill>
                  <a:srgbClr val="FFC000"/>
                </a:solidFill>
                <a:latin typeface="Arial"/>
                <a:ea typeface="Arial"/>
                <a:cs typeface="Arial"/>
              </a:defRPr>
            </a:pPr>
            <a:r>
              <a:rPr lang="nl-NL" i="1">
                <a:solidFill>
                  <a:srgbClr val="FFC000"/>
                </a:solidFill>
              </a:rPr>
              <a:t>TourToto - Tour de France 2012</a:t>
            </a:r>
          </a:p>
          <a:p>
            <a:pPr>
              <a:defRPr sz="1600" b="1" i="1" u="none" strike="noStrike" baseline="0">
                <a:solidFill>
                  <a:srgbClr val="FFC000"/>
                </a:solidFill>
                <a:latin typeface="Arial"/>
                <a:ea typeface="Arial"/>
                <a:cs typeface="Arial"/>
              </a:defRPr>
            </a:pPr>
            <a:r>
              <a:rPr lang="nl-NL" i="1">
                <a:solidFill>
                  <a:srgbClr val="FFC000"/>
                </a:solidFill>
              </a:rPr>
              <a:t> - na correctie voor originaliteit</a:t>
            </a:r>
          </a:p>
        </c:rich>
      </c:tx>
      <c:layout>
        <c:manualLayout>
          <c:xMode val="edge"/>
          <c:yMode val="edge"/>
          <c:x val="2.0682523267838628E-2"/>
          <c:y val="4.9717514124294419E-2"/>
        </c:manualLayout>
      </c:layout>
      <c:spPr>
        <a:noFill/>
        <a:ln w="25400">
          <a:noFill/>
        </a:ln>
      </c:spPr>
    </c:title>
    <c:plotArea>
      <c:layout>
        <c:manualLayout>
          <c:layoutTarget val="inner"/>
          <c:xMode val="edge"/>
          <c:yMode val="edge"/>
          <c:x val="1.9648397104446741E-2"/>
          <c:y val="5.5367231638418883E-2"/>
          <c:w val="0.92761116856256454"/>
          <c:h val="0.80225988700564976"/>
        </c:manualLayout>
      </c:layout>
      <c:lineChart>
        <c:grouping val="standard"/>
        <c:ser>
          <c:idx val="2"/>
          <c:order val="0"/>
          <c:tx>
            <c:strRef>
              <c:f>Etappes!$AB$37</c:f>
              <c:strCache>
                <c:ptCount val="1"/>
                <c:pt idx="0">
                  <c:v>Am Selfkant</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Etappes!$AC$37:$AX$37</c:f>
              <c:numCache>
                <c:formatCode>0</c:formatCode>
                <c:ptCount val="22"/>
                <c:pt idx="0">
                  <c:v>-11.41194634530423</c:v>
                </c:pt>
                <c:pt idx="1">
                  <c:v>-37.924444752259376</c:v>
                </c:pt>
                <c:pt idx="2">
                  <c:v>-19.920848933530863</c:v>
                </c:pt>
                <c:pt idx="3">
                  <c:v>-47.777946391331056</c:v>
                </c:pt>
                <c:pt idx="4">
                  <c:v>-39.839570505312167</c:v>
                </c:pt>
                <c:pt idx="5">
                  <c:v>-32.606159484534032</c:v>
                </c:pt>
                <c:pt idx="6">
                  <c:v>-19.497525508500985</c:v>
                </c:pt>
                <c:pt idx="7">
                  <c:v>-8.7164104263906665</c:v>
                </c:pt>
                <c:pt idx="8">
                  <c:v>21.140163021703984</c:v>
                </c:pt>
                <c:pt idx="9">
                  <c:v>20.405213783643831</c:v>
                </c:pt>
                <c:pt idx="10">
                  <c:v>30.335162058631113</c:v>
                </c:pt>
                <c:pt idx="11">
                  <c:v>60.447683847319013</c:v>
                </c:pt>
                <c:pt idx="12">
                  <c:v>73.078344332769348</c:v>
                </c:pt>
                <c:pt idx="13">
                  <c:v>95.987776703553891</c:v>
                </c:pt>
                <c:pt idx="14">
                  <c:v>117.17847263044132</c:v>
                </c:pt>
                <c:pt idx="15">
                  <c:v>124.15177071722974</c:v>
                </c:pt>
                <c:pt idx="16">
                  <c:v>111.51490913440921</c:v>
                </c:pt>
                <c:pt idx="17">
                  <c:v>111.49343005955552</c:v>
                </c:pt>
                <c:pt idx="18">
                  <c:v>137.06092663354548</c:v>
                </c:pt>
                <c:pt idx="19">
                  <c:v>130.65780328380288</c:v>
                </c:pt>
                <c:pt idx="20">
                  <c:v>151.81356732566064</c:v>
                </c:pt>
                <c:pt idx="21">
                  <c:v>184.973574091101</c:v>
                </c:pt>
              </c:numCache>
            </c:numRef>
          </c:val>
        </c:ser>
        <c:ser>
          <c:idx val="1"/>
          <c:order val="1"/>
          <c:tx>
            <c:strRef>
              <c:f>Etappes!$AB$38</c:f>
              <c:strCache>
                <c:ptCount val="1"/>
                <c:pt idx="0">
                  <c:v>City United</c:v>
                </c:pt>
              </c:strCache>
            </c:strRef>
          </c:tx>
          <c:spPr>
            <a:ln w="38100">
              <a:solidFill>
                <a:srgbClr val="FF00FF"/>
              </a:solidFill>
              <a:prstDash val="solid"/>
            </a:ln>
          </c:spPr>
          <c:marker>
            <c:symbol val="plus"/>
            <c:size val="5"/>
            <c:spPr>
              <a:noFill/>
              <a:ln>
                <a:solidFill>
                  <a:srgbClr val="FFFF0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Etappes!$AC$38:$AX$38</c:f>
              <c:numCache>
                <c:formatCode>0</c:formatCode>
                <c:ptCount val="22"/>
                <c:pt idx="0">
                  <c:v>8.7388207109561904</c:v>
                </c:pt>
                <c:pt idx="1">
                  <c:v>19.89806735284526</c:v>
                </c:pt>
                <c:pt idx="2">
                  <c:v>30.12525789745871</c:v>
                </c:pt>
                <c:pt idx="3">
                  <c:v>56.271747692100689</c:v>
                </c:pt>
                <c:pt idx="4">
                  <c:v>71.583101744990927</c:v>
                </c:pt>
                <c:pt idx="5">
                  <c:v>86.224269131540723</c:v>
                </c:pt>
                <c:pt idx="6">
                  <c:v>104.11838327625992</c:v>
                </c:pt>
                <c:pt idx="7">
                  <c:v>83.453050912685967</c:v>
                </c:pt>
                <c:pt idx="8">
                  <c:v>82.774365726285623</c:v>
                </c:pt>
                <c:pt idx="9">
                  <c:v>75.007264670577342</c:v>
                </c:pt>
                <c:pt idx="10">
                  <c:v>54.87493781611397</c:v>
                </c:pt>
                <c:pt idx="11">
                  <c:v>48.901600425812831</c:v>
                </c:pt>
                <c:pt idx="12">
                  <c:v>57.031961973560101</c:v>
                </c:pt>
                <c:pt idx="13">
                  <c:v>59.52659158984693</c:v>
                </c:pt>
                <c:pt idx="14">
                  <c:v>54.327590191159288</c:v>
                </c:pt>
                <c:pt idx="15">
                  <c:v>56.571053227502034</c:v>
                </c:pt>
                <c:pt idx="16">
                  <c:v>77.342129508344442</c:v>
                </c:pt>
                <c:pt idx="17">
                  <c:v>43.780555414006358</c:v>
                </c:pt>
                <c:pt idx="18">
                  <c:v>66.155413328945542</c:v>
                </c:pt>
                <c:pt idx="19">
                  <c:v>55.850176062585433</c:v>
                </c:pt>
                <c:pt idx="20">
                  <c:v>73.771567606711869</c:v>
                </c:pt>
                <c:pt idx="21">
                  <c:v>53.400970624754791</c:v>
                </c:pt>
              </c:numCache>
            </c:numRef>
          </c:val>
        </c:ser>
        <c:ser>
          <c:idx val="0"/>
          <c:order val="2"/>
          <c:tx>
            <c:strRef>
              <c:f>Etappes!$AB$39</c:f>
              <c:strCache>
                <c:ptCount val="1"/>
                <c:pt idx="0">
                  <c:v>De Lange Man</c:v>
                </c:pt>
              </c:strCache>
            </c:strRef>
          </c:tx>
          <c:spPr>
            <a:ln w="38100">
              <a:solidFill>
                <a:srgbClr val="FF0000"/>
              </a:solidFill>
              <a:prstDash val="solid"/>
            </a:ln>
          </c:spPr>
          <c:marker>
            <c:symbol val="triangle"/>
            <c:size val="5"/>
            <c:spPr>
              <a:solidFill>
                <a:srgbClr val="000080"/>
              </a:solidFill>
              <a:ln>
                <a:solidFill>
                  <a:srgbClr val="FFCC0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Etappes!$AC$39:$AX$39</c:f>
              <c:numCache>
                <c:formatCode>0</c:formatCode>
                <c:ptCount val="22"/>
                <c:pt idx="0">
                  <c:v>-1.2445561585924168</c:v>
                </c:pt>
                <c:pt idx="1">
                  <c:v>-23.799295530689335</c:v>
                </c:pt>
                <c:pt idx="2">
                  <c:v>-26.328748342719337</c:v>
                </c:pt>
                <c:pt idx="3">
                  <c:v>-23.873167638986388</c:v>
                </c:pt>
                <c:pt idx="4">
                  <c:v>-35.897477921760469</c:v>
                </c:pt>
                <c:pt idx="5">
                  <c:v>-54.059107738007924</c:v>
                </c:pt>
                <c:pt idx="6">
                  <c:v>-63.500657928953046</c:v>
                </c:pt>
                <c:pt idx="7">
                  <c:v>-87.810745537282173</c:v>
                </c:pt>
                <c:pt idx="8">
                  <c:v>-92.134185968437805</c:v>
                </c:pt>
                <c:pt idx="9">
                  <c:v>-103.54604226890115</c:v>
                </c:pt>
                <c:pt idx="10">
                  <c:v>-90.875571920567609</c:v>
                </c:pt>
                <c:pt idx="11">
                  <c:v>-100.49366455562381</c:v>
                </c:pt>
                <c:pt idx="12">
                  <c:v>-113.32064566521967</c:v>
                </c:pt>
                <c:pt idx="13">
                  <c:v>-113.55958248249908</c:v>
                </c:pt>
                <c:pt idx="14">
                  <c:v>-119.66977269237532</c:v>
                </c:pt>
                <c:pt idx="15">
                  <c:v>-95.557778187501299</c:v>
                </c:pt>
                <c:pt idx="16">
                  <c:v>-77.520268340225357</c:v>
                </c:pt>
                <c:pt idx="17">
                  <c:v>-109.2594648121858</c:v>
                </c:pt>
                <c:pt idx="18">
                  <c:v>-112.39789361053363</c:v>
                </c:pt>
                <c:pt idx="19">
                  <c:v>-120.88075325451609</c:v>
                </c:pt>
                <c:pt idx="20">
                  <c:v>-124.82789317892093</c:v>
                </c:pt>
                <c:pt idx="21">
                  <c:v>-140.6425461049339</c:v>
                </c:pt>
              </c:numCache>
            </c:numRef>
          </c:val>
        </c:ser>
        <c:ser>
          <c:idx val="6"/>
          <c:order val="3"/>
          <c:tx>
            <c:strRef>
              <c:f>Etappes!$AB$40</c:f>
              <c:strCache>
                <c:ptCount val="1"/>
                <c:pt idx="0">
                  <c:v>Ode Kolonne</c:v>
                </c:pt>
              </c:strCache>
            </c:strRef>
          </c:tx>
          <c:spPr>
            <a:ln w="38100">
              <a:solidFill>
                <a:srgbClr val="00FF00"/>
              </a:solidFill>
              <a:prstDash val="solid"/>
            </a:ln>
          </c:spPr>
          <c:marker>
            <c:symbol val="circle"/>
            <c:size val="6"/>
            <c:spPr>
              <a:solidFill>
                <a:srgbClr val="FFFF00"/>
              </a:solidFill>
              <a:ln>
                <a:solidFill>
                  <a:srgbClr val="00808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Etappes!$AC$40:$AX$40</c:f>
              <c:numCache>
                <c:formatCode>0</c:formatCode>
                <c:ptCount val="22"/>
                <c:pt idx="0">
                  <c:v>16.336522767517721</c:v>
                </c:pt>
                <c:pt idx="1">
                  <c:v>27.184976326520712</c:v>
                </c:pt>
                <c:pt idx="2">
                  <c:v>54.308009013487776</c:v>
                </c:pt>
                <c:pt idx="3">
                  <c:v>57.243906299862829</c:v>
                </c:pt>
                <c:pt idx="4">
                  <c:v>70.86002535519242</c:v>
                </c:pt>
                <c:pt idx="5">
                  <c:v>83.841275139964182</c:v>
                </c:pt>
                <c:pt idx="6">
                  <c:v>90.06652171814153</c:v>
                </c:pt>
                <c:pt idx="7">
                  <c:v>40.221956959056115</c:v>
                </c:pt>
                <c:pt idx="8">
                  <c:v>13.125859727336547</c:v>
                </c:pt>
                <c:pt idx="9">
                  <c:v>-16.474455401120395</c:v>
                </c:pt>
                <c:pt idx="10">
                  <c:v>-52.443102524462347</c:v>
                </c:pt>
                <c:pt idx="11">
                  <c:v>-84.960994584899481</c:v>
                </c:pt>
                <c:pt idx="12">
                  <c:v>-91.501479245208202</c:v>
                </c:pt>
                <c:pt idx="13">
                  <c:v>-92.291367436694827</c:v>
                </c:pt>
                <c:pt idx="14">
                  <c:v>-90.313874012375891</c:v>
                </c:pt>
                <c:pt idx="15">
                  <c:v>-94.710081383145734</c:v>
                </c:pt>
                <c:pt idx="16">
                  <c:v>-130.92009145780821</c:v>
                </c:pt>
                <c:pt idx="17">
                  <c:v>-188.44098685100198</c:v>
                </c:pt>
                <c:pt idx="18">
                  <c:v>-172.06302273993379</c:v>
                </c:pt>
                <c:pt idx="19">
                  <c:v>-198.26815158758109</c:v>
                </c:pt>
                <c:pt idx="20">
                  <c:v>-186.38603472226396</c:v>
                </c:pt>
                <c:pt idx="21">
                  <c:v>-252.85289667955567</c:v>
                </c:pt>
              </c:numCache>
            </c:numRef>
          </c:val>
        </c:ser>
        <c:ser>
          <c:idx val="4"/>
          <c:order val="4"/>
          <c:tx>
            <c:strRef>
              <c:f>Etappes!$AB$41</c:f>
              <c:strCache>
                <c:ptCount val="1"/>
                <c:pt idx="0">
                  <c:v>Special Victims Unit</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Etappes!$AC$41:$AX$41</c:f>
              <c:numCache>
                <c:formatCode>0</c:formatCode>
                <c:ptCount val="22"/>
                <c:pt idx="0">
                  <c:v>20.821326665926676</c:v>
                </c:pt>
                <c:pt idx="1">
                  <c:v>45.107618620226958</c:v>
                </c:pt>
                <c:pt idx="2">
                  <c:v>72.477011677774613</c:v>
                </c:pt>
                <c:pt idx="3">
                  <c:v>88.089269850379992</c:v>
                </c:pt>
                <c:pt idx="4">
                  <c:v>109.25297480440167</c:v>
                </c:pt>
                <c:pt idx="5">
                  <c:v>148.30363107605012</c:v>
                </c:pt>
                <c:pt idx="6">
                  <c:v>174.90959922042816</c:v>
                </c:pt>
                <c:pt idx="7">
                  <c:v>189.45467677214242</c:v>
                </c:pt>
                <c:pt idx="8">
                  <c:v>208.62953641489639</c:v>
                </c:pt>
                <c:pt idx="9">
                  <c:v>249.5554764644246</c:v>
                </c:pt>
                <c:pt idx="10">
                  <c:v>260.50728173799553</c:v>
                </c:pt>
                <c:pt idx="11">
                  <c:v>281.1584369282848</c:v>
                </c:pt>
                <c:pt idx="12">
                  <c:v>315.44658459235438</c:v>
                </c:pt>
                <c:pt idx="13">
                  <c:v>346.79552656295368</c:v>
                </c:pt>
                <c:pt idx="14">
                  <c:v>361.53896646280509</c:v>
                </c:pt>
                <c:pt idx="15">
                  <c:v>360.30065111493059</c:v>
                </c:pt>
                <c:pt idx="16">
                  <c:v>377.81959822413137</c:v>
                </c:pt>
                <c:pt idx="17">
                  <c:v>422.60544581380054</c:v>
                </c:pt>
                <c:pt idx="18">
                  <c:v>445.25440117600783</c:v>
                </c:pt>
                <c:pt idx="19">
                  <c:v>478.08617567836654</c:v>
                </c:pt>
                <c:pt idx="20">
                  <c:v>500.78575245189813</c:v>
                </c:pt>
                <c:pt idx="21">
                  <c:v>562.85181474562432</c:v>
                </c:pt>
              </c:numCache>
            </c:numRef>
          </c:val>
        </c:ser>
        <c:ser>
          <c:idx val="3"/>
          <c:order val="5"/>
          <c:tx>
            <c:strRef>
              <c:f>Etappes!$AB$42</c:f>
              <c:strCache>
                <c:ptCount val="1"/>
                <c:pt idx="0">
                  <c:v>IJffjes Boys</c:v>
                </c:pt>
              </c:strCache>
            </c:strRef>
          </c:tx>
          <c:spPr>
            <a:ln w="25400">
              <a:solidFill>
                <a:srgbClr val="00FFFF"/>
              </a:solidFill>
              <a:prstDash val="solid"/>
            </a:ln>
          </c:spPr>
          <c:marker>
            <c:symbol val="x"/>
            <c:size val="7"/>
            <c:spPr>
              <a:noFill/>
              <a:ln>
                <a:solidFill>
                  <a:srgbClr val="00FFFF"/>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Etappes!$AC$42:$AX$42</c:f>
              <c:numCache>
                <c:formatCode>0</c:formatCode>
                <c:ptCount val="22"/>
                <c:pt idx="0">
                  <c:v>34.640194439511419</c:v>
                </c:pt>
                <c:pt idx="1">
                  <c:v>70.356726419013739</c:v>
                </c:pt>
                <c:pt idx="2">
                  <c:v>39.998671061987807</c:v>
                </c:pt>
                <c:pt idx="3">
                  <c:v>40.691624229322542</c:v>
                </c:pt>
                <c:pt idx="4">
                  <c:v>0.88352396603715988</c:v>
                </c:pt>
                <c:pt idx="5">
                  <c:v>-45.121645916701141</c:v>
                </c:pt>
                <c:pt idx="6">
                  <c:v>-86.126179026366799</c:v>
                </c:pt>
                <c:pt idx="7">
                  <c:v>-95.349369924848361</c:v>
                </c:pt>
                <c:pt idx="8">
                  <c:v>-88.409919148850577</c:v>
                </c:pt>
                <c:pt idx="9">
                  <c:v>-100.26990109416101</c:v>
                </c:pt>
                <c:pt idx="10">
                  <c:v>-58.232263486856709</c:v>
                </c:pt>
                <c:pt idx="11">
                  <c:v>-51.837333079381779</c:v>
                </c:pt>
                <c:pt idx="12">
                  <c:v>-71.684949291579869</c:v>
                </c:pt>
                <c:pt idx="13">
                  <c:v>-97.945048552972594</c:v>
                </c:pt>
                <c:pt idx="14">
                  <c:v>-89.043029660475895</c:v>
                </c:pt>
                <c:pt idx="15">
                  <c:v>-99.272397072373678</c:v>
                </c:pt>
                <c:pt idx="16">
                  <c:v>-88.628960365072089</c:v>
                </c:pt>
                <c:pt idx="17">
                  <c:v>-71.44777394124003</c:v>
                </c:pt>
                <c:pt idx="18">
                  <c:v>-104.65543350881853</c:v>
                </c:pt>
                <c:pt idx="19">
                  <c:v>-123.23605768335256</c:v>
                </c:pt>
                <c:pt idx="20">
                  <c:v>-127.27282273672654</c:v>
                </c:pt>
                <c:pt idx="21">
                  <c:v>-114.24312165609081</c:v>
                </c:pt>
              </c:numCache>
            </c:numRef>
          </c:val>
        </c:ser>
        <c:ser>
          <c:idx val="7"/>
          <c:order val="6"/>
          <c:tx>
            <c:strRef>
              <c:f>Etappes!$AB$43</c:f>
              <c:strCache>
                <c:ptCount val="1"/>
                <c:pt idx="0">
                  <c:v>El Gran</c:v>
                </c:pt>
              </c:strCache>
            </c:strRef>
          </c:tx>
          <c:spPr>
            <a:ln w="38100">
              <a:solidFill>
                <a:srgbClr val="0000FF"/>
              </a:solidFill>
              <a:prstDash val="solid"/>
            </a:ln>
          </c:spPr>
          <c:marker>
            <c:symbol val="dot"/>
            <c:size val="9"/>
            <c:spPr>
              <a:noFill/>
              <a:ln>
                <a:solidFill>
                  <a:srgbClr val="0000FF"/>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Etappes!$AC$43:$AX$43</c:f>
              <c:numCache>
                <c:formatCode>0</c:formatCode>
                <c:ptCount val="22"/>
                <c:pt idx="0">
                  <c:v>16.856980678298925</c:v>
                </c:pt>
                <c:pt idx="1">
                  <c:v>43.600698021900087</c:v>
                </c:pt>
                <c:pt idx="2">
                  <c:v>40.144346246764258</c:v>
                </c:pt>
                <c:pt idx="3">
                  <c:v>93.987833871162593</c:v>
                </c:pt>
                <c:pt idx="4">
                  <c:v>65.546414835072824</c:v>
                </c:pt>
                <c:pt idx="5">
                  <c:v>33.921184825914906</c:v>
                </c:pt>
                <c:pt idx="6">
                  <c:v>25.359403142324481</c:v>
                </c:pt>
                <c:pt idx="7">
                  <c:v>10.946711241736011</c:v>
                </c:pt>
                <c:pt idx="8">
                  <c:v>-26.258077151802354</c:v>
                </c:pt>
                <c:pt idx="9">
                  <c:v>-29.814857493741329</c:v>
                </c:pt>
                <c:pt idx="10">
                  <c:v>-55.508578126840121</c:v>
                </c:pt>
                <c:pt idx="11">
                  <c:v>-99.987497865826981</c:v>
                </c:pt>
                <c:pt idx="12">
                  <c:v>-115.01390024380953</c:v>
                </c:pt>
                <c:pt idx="13">
                  <c:v>-141.19029787613613</c:v>
                </c:pt>
                <c:pt idx="14">
                  <c:v>-159.24020354296908</c:v>
                </c:pt>
                <c:pt idx="15">
                  <c:v>-180.71906990136972</c:v>
                </c:pt>
                <c:pt idx="16">
                  <c:v>-185.22562805505822</c:v>
                </c:pt>
                <c:pt idx="17">
                  <c:v>-190.49321854679192</c:v>
                </c:pt>
                <c:pt idx="18">
                  <c:v>-207.36232012063965</c:v>
                </c:pt>
                <c:pt idx="19">
                  <c:v>-207.88013274267905</c:v>
                </c:pt>
                <c:pt idx="20">
                  <c:v>-228.84136719324715</c:v>
                </c:pt>
                <c:pt idx="21">
                  <c:v>-275.55788894009447</c:v>
                </c:pt>
              </c:numCache>
            </c:numRef>
          </c:val>
        </c:ser>
        <c:ser>
          <c:idx val="8"/>
          <c:order val="7"/>
          <c:tx>
            <c:strRef>
              <c:f>Etappes!$AB$44</c:f>
              <c:strCache>
                <c:ptCount val="1"/>
                <c:pt idx="0">
                  <c:v>Winner on Wheels</c:v>
                </c:pt>
              </c:strCache>
            </c:strRef>
          </c:tx>
          <c:spPr>
            <a:ln w="25400">
              <a:solidFill>
                <a:srgbClr val="FF9900"/>
              </a:solidFill>
              <a:prstDash val="solid"/>
            </a:ln>
          </c:spPr>
          <c:marker>
            <c:symbol val="dash"/>
            <c:size val="7"/>
            <c:spPr>
              <a:noFill/>
              <a:ln>
                <a:solidFill>
                  <a:srgbClr val="00CCFF"/>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Etappes!$AC$44:$AX$44</c:f>
              <c:numCache>
                <c:formatCode>0</c:formatCode>
                <c:ptCount val="22"/>
                <c:pt idx="0">
                  <c:v>-41.912694775340086</c:v>
                </c:pt>
                <c:pt idx="1">
                  <c:v>-89.198549934304992</c:v>
                </c:pt>
                <c:pt idx="2">
                  <c:v>-103.29123066885495</c:v>
                </c:pt>
                <c:pt idx="3">
                  <c:v>-151.26551567463383</c:v>
                </c:pt>
                <c:pt idx="4">
                  <c:v>-142.64696439419242</c:v>
                </c:pt>
                <c:pt idx="5">
                  <c:v>-119.3374078746516</c:v>
                </c:pt>
                <c:pt idx="6">
                  <c:v>-92.041115377311598</c:v>
                </c:pt>
                <c:pt idx="7">
                  <c:v>-36.400432517170884</c:v>
                </c:pt>
                <c:pt idx="8">
                  <c:v>16.30203212005631</c:v>
                </c:pt>
                <c:pt idx="9">
                  <c:v>36.620511855238647</c:v>
                </c:pt>
                <c:pt idx="10">
                  <c:v>44.597956645060094</c:v>
                </c:pt>
                <c:pt idx="11">
                  <c:v>78.007328580831199</c:v>
                </c:pt>
                <c:pt idx="12">
                  <c:v>115.90050342147993</c:v>
                </c:pt>
                <c:pt idx="13">
                  <c:v>130.12769693404766</c:v>
                </c:pt>
                <c:pt idx="14">
                  <c:v>139.45933480759231</c:v>
                </c:pt>
                <c:pt idx="15">
                  <c:v>161.70056998329983</c:v>
                </c:pt>
                <c:pt idx="16">
                  <c:v>157.40185852975264</c:v>
                </c:pt>
                <c:pt idx="17">
                  <c:v>159.93303769984959</c:v>
                </c:pt>
                <c:pt idx="18">
                  <c:v>157.12521723122518</c:v>
                </c:pt>
                <c:pt idx="19">
                  <c:v>175.79255871355008</c:v>
                </c:pt>
                <c:pt idx="20">
                  <c:v>172.95013442748905</c:v>
                </c:pt>
                <c:pt idx="21">
                  <c:v>239.16666536186312</c:v>
                </c:pt>
              </c:numCache>
            </c:numRef>
          </c:val>
        </c:ser>
        <c:ser>
          <c:idx val="9"/>
          <c:order val="8"/>
          <c:tx>
            <c:strRef>
              <c:f>Etappes!$AB$45</c:f>
              <c:strCache>
                <c:ptCount val="1"/>
                <c:pt idx="0">
                  <c:v>Ami</c:v>
                </c:pt>
              </c:strCache>
            </c:strRef>
          </c:tx>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Etappes!$AC$45:$AX$45</c:f>
              <c:numCache>
                <c:formatCode>0</c:formatCode>
                <c:ptCount val="22"/>
                <c:pt idx="0">
                  <c:v>-34.579363976365599</c:v>
                </c:pt>
                <c:pt idx="1">
                  <c:v>-36.78959564377783</c:v>
                </c:pt>
                <c:pt idx="2">
                  <c:v>-63.461520143412201</c:v>
                </c:pt>
                <c:pt idx="3">
                  <c:v>-66.36018165763835</c:v>
                </c:pt>
                <c:pt idx="4">
                  <c:v>-66.127792887253236</c:v>
                </c:pt>
                <c:pt idx="5">
                  <c:v>-69.0249942116385</c:v>
                </c:pt>
                <c:pt idx="6">
                  <c:v>-84.707784578337055</c:v>
                </c:pt>
                <c:pt idx="7">
                  <c:v>-59.466940817150771</c:v>
                </c:pt>
                <c:pt idx="8">
                  <c:v>-62.322802809046834</c:v>
                </c:pt>
                <c:pt idx="9">
                  <c:v>-67.162810604033211</c:v>
                </c:pt>
                <c:pt idx="10">
                  <c:v>-68.619798638025259</c:v>
                </c:pt>
                <c:pt idx="11">
                  <c:v>-16.341561054627391</c:v>
                </c:pt>
                <c:pt idx="12">
                  <c:v>-11.993036254204071</c:v>
                </c:pt>
                <c:pt idx="13">
                  <c:v>11.668590082176934</c:v>
                </c:pt>
                <c:pt idx="14">
                  <c:v>9.4692545043944847</c:v>
                </c:pt>
                <c:pt idx="15">
                  <c:v>10.745083404960951</c:v>
                </c:pt>
                <c:pt idx="16">
                  <c:v>2.2532906963861024</c:v>
                </c:pt>
                <c:pt idx="17">
                  <c:v>30.991227710408566</c:v>
                </c:pt>
                <c:pt idx="18">
                  <c:v>23.990325986756034</c:v>
                </c:pt>
                <c:pt idx="19">
                  <c:v>30.078423703996577</c:v>
                </c:pt>
                <c:pt idx="20">
                  <c:v>36.67043224174904</c:v>
                </c:pt>
                <c:pt idx="21">
                  <c:v>78.776745959711207</c:v>
                </c:pt>
              </c:numCache>
            </c:numRef>
          </c:val>
        </c:ser>
        <c:ser>
          <c:idx val="5"/>
          <c:order val="9"/>
          <c:tx>
            <c:strRef>
              <c:f>Etappes!$AB$46</c:f>
              <c:strCache>
                <c:ptCount val="1"/>
                <c:pt idx="0">
                  <c:v>Mahawong</c:v>
                </c:pt>
              </c:strCache>
            </c:strRef>
          </c:tx>
          <c:spPr>
            <a:ln w="38100">
              <a:solidFill>
                <a:srgbClr val="00B050"/>
              </a:solidFill>
              <a:prstDash val="solid"/>
            </a:ln>
          </c:spPr>
          <c:marker>
            <c:symbol val="circle"/>
            <c:size val="5"/>
            <c:spPr>
              <a:solidFill>
                <a:srgbClr val="800000"/>
              </a:solidFill>
              <a:ln>
                <a:solidFill>
                  <a:srgbClr val="800000"/>
                </a:solidFill>
                <a:prstDash val="solid"/>
              </a:ln>
            </c:spPr>
          </c:marker>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Etappes!$AC$46:$AX$46</c:f>
              <c:numCache>
                <c:formatCode>0</c:formatCode>
                <c:ptCount val="22"/>
                <c:pt idx="0">
                  <c:v>-2.4173098636135819</c:v>
                </c:pt>
                <c:pt idx="1">
                  <c:v>-52.869153141905315</c:v>
                </c:pt>
                <c:pt idx="2">
                  <c:v>-45.75289005367398</c:v>
                </c:pt>
                <c:pt idx="3">
                  <c:v>-84.917468988282621</c:v>
                </c:pt>
                <c:pt idx="4">
                  <c:v>-72.275253877258592</c:v>
                </c:pt>
                <c:pt idx="5">
                  <c:v>-52.894063887049811</c:v>
                </c:pt>
                <c:pt idx="6">
                  <c:v>-66.035592887064695</c:v>
                </c:pt>
                <c:pt idx="7">
                  <c:v>-62.871957248943318</c:v>
                </c:pt>
                <c:pt idx="8">
                  <c:v>-89.689796210861005</c:v>
                </c:pt>
                <c:pt idx="9">
                  <c:v>-122.68486223089781</c:v>
                </c:pt>
                <c:pt idx="10">
                  <c:v>-111.2661260070256</c:v>
                </c:pt>
                <c:pt idx="11">
                  <c:v>-100.65398624821319</c:v>
                </c:pt>
                <c:pt idx="12">
                  <c:v>-149.10016634064414</c:v>
                </c:pt>
                <c:pt idx="13">
                  <c:v>-153.64654117445275</c:v>
                </c:pt>
                <c:pt idx="14">
                  <c:v>-170.47930678872262</c:v>
                </c:pt>
                <c:pt idx="15">
                  <c:v>-175.5989856609765</c:v>
                </c:pt>
                <c:pt idx="16">
                  <c:v>-140.07401378078384</c:v>
                </c:pt>
                <c:pt idx="17">
                  <c:v>-139.96762149806455</c:v>
                </c:pt>
                <c:pt idx="18">
                  <c:v>-160.01366490402688</c:v>
                </c:pt>
                <c:pt idx="19">
                  <c:v>-148.51479819355563</c:v>
                </c:pt>
                <c:pt idx="20">
                  <c:v>-183.10181238510768</c:v>
                </c:pt>
                <c:pt idx="21">
                  <c:v>-210.89077483997607</c:v>
                </c:pt>
              </c:numCache>
            </c:numRef>
          </c:val>
        </c:ser>
        <c:ser>
          <c:idx val="10"/>
          <c:order val="10"/>
          <c:tx>
            <c:strRef>
              <c:f>Etappes!$AB$47</c:f>
              <c:strCache>
                <c:ptCount val="1"/>
                <c:pt idx="0">
                  <c:v>Lothars Revenge: Oranje (naar) boven!</c:v>
                </c:pt>
              </c:strCache>
            </c:strRef>
          </c:tx>
          <c:cat>
            <c:strRef>
              <c:f>Etappes!$AC$36:$AX$36</c:f>
              <c:strCache>
                <c:ptCount val="22"/>
                <c:pt idx="0">
                  <c:v>P</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B</c:v>
                </c:pt>
              </c:strCache>
            </c:strRef>
          </c:cat>
          <c:val>
            <c:numRef>
              <c:f>Etappes!$AC$47:$AX$47</c:f>
              <c:numCache>
                <c:formatCode>0</c:formatCode>
                <c:ptCount val="22"/>
                <c:pt idx="0">
                  <c:v>-5.827974142995032</c:v>
                </c:pt>
                <c:pt idx="1">
                  <c:v>34.43295226242941</c:v>
                </c:pt>
                <c:pt idx="2">
                  <c:v>21.701942244718509</c:v>
                </c:pt>
                <c:pt idx="3">
                  <c:v>37.909898408043318</c:v>
                </c:pt>
                <c:pt idx="4">
                  <c:v>38.661018880081429</c:v>
                </c:pt>
                <c:pt idx="5">
                  <c:v>20.753018939113304</c:v>
                </c:pt>
                <c:pt idx="6">
                  <c:v>17.454947949379402</c:v>
                </c:pt>
                <c:pt idx="7">
                  <c:v>26.539460586165887</c:v>
                </c:pt>
                <c:pt idx="8">
                  <c:v>16.842824278721537</c:v>
                </c:pt>
                <c:pt idx="9">
                  <c:v>58.36446231896889</c:v>
                </c:pt>
                <c:pt idx="10">
                  <c:v>46.630102445977627</c:v>
                </c:pt>
                <c:pt idx="11">
                  <c:v>-14.240012393678171</c:v>
                </c:pt>
                <c:pt idx="12">
                  <c:v>-8.8432172794978214</c:v>
                </c:pt>
                <c:pt idx="13">
                  <c:v>-45.473344349823265</c:v>
                </c:pt>
                <c:pt idx="14">
                  <c:v>-53.227431899473231</c:v>
                </c:pt>
                <c:pt idx="15">
                  <c:v>-67.610816242555302</c:v>
                </c:pt>
                <c:pt idx="16">
                  <c:v>-103.96282409407513</c:v>
                </c:pt>
                <c:pt idx="17">
                  <c:v>-69.19463104833676</c:v>
                </c:pt>
                <c:pt idx="18">
                  <c:v>-73.093949472523036</c:v>
                </c:pt>
                <c:pt idx="19">
                  <c:v>-71.685243980610721</c:v>
                </c:pt>
                <c:pt idx="20">
                  <c:v>-85.561523837247933</c:v>
                </c:pt>
                <c:pt idx="21">
                  <c:v>-124.9825425624108</c:v>
                </c:pt>
              </c:numCache>
            </c:numRef>
          </c:val>
        </c:ser>
        <c:marker val="1"/>
        <c:axId val="89421312"/>
        <c:axId val="89422848"/>
      </c:lineChart>
      <c:catAx>
        <c:axId val="89421312"/>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89422848"/>
        <c:crosses val="autoZero"/>
        <c:auto val="1"/>
        <c:lblAlgn val="ctr"/>
        <c:lblOffset val="100"/>
        <c:tickLblSkip val="1"/>
        <c:tickMarkSkip val="1"/>
      </c:catAx>
      <c:valAx>
        <c:axId val="89422848"/>
        <c:scaling>
          <c:orientation val="minMax"/>
          <c:max val="400"/>
          <c:min val="-200"/>
        </c:scaling>
        <c:axPos val="l"/>
        <c:majorGridlines>
          <c:spPr>
            <a:ln w="12700">
              <a:solidFill>
                <a:srgbClr val="99CC00"/>
              </a:solidFill>
              <a:prstDash val="sysDash"/>
            </a:ln>
          </c:spPr>
        </c:majorGridlines>
        <c:title>
          <c:tx>
            <c:rich>
              <a:bodyPr rot="5400000" vert="horz"/>
              <a:lstStyle/>
              <a:p>
                <a:pPr algn="ctr">
                  <a:defRPr sz="900" b="1" i="0" u="none" strike="noStrike" baseline="0">
                    <a:solidFill>
                      <a:srgbClr val="FFFFFF"/>
                    </a:solidFill>
                    <a:latin typeface="Arial"/>
                    <a:ea typeface="Arial"/>
                    <a:cs typeface="Arial"/>
                  </a:defRPr>
                </a:pPr>
                <a:r>
                  <a:rPr lang="nl-NL"/>
                  <a:t>afwijking van gemiddelde</a:t>
                </a:r>
              </a:p>
            </c:rich>
          </c:tx>
          <c:layout>
            <c:manualLayout>
              <c:xMode val="edge"/>
              <c:yMode val="edge"/>
              <c:x val="0.97724922440538387"/>
              <c:y val="0.26101694915254503"/>
            </c:manualLayout>
          </c:layout>
          <c:spPr>
            <a:noFill/>
            <a:ln w="25400">
              <a:noFill/>
            </a:ln>
          </c:spPr>
        </c:title>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89421312"/>
        <c:crosses val="autoZero"/>
        <c:crossBetween val="midCat"/>
      </c:valAx>
      <c:spPr>
        <a:noFill/>
        <a:ln w="25400">
          <a:noFill/>
        </a:ln>
      </c:spPr>
    </c:plotArea>
    <c:legend>
      <c:legendPos val="r"/>
      <c:layout>
        <c:manualLayout>
          <c:xMode val="edge"/>
          <c:yMode val="edge"/>
          <c:x val="3.619441571871769E-2"/>
          <c:y val="0.89943502824859101"/>
          <c:w val="0.95139607032058304"/>
          <c:h val="8.3615819209040168E-2"/>
        </c:manualLayout>
      </c:layout>
      <c:spPr>
        <a:noFill/>
        <a:ln w="25400">
          <a:noFill/>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chemeClr val="bg1">
        <a:lumMod val="25000"/>
      </a:schemeClr>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indexed="43"/>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tabColor indexed="43"/>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indexed="43"/>
  </sheetPr>
  <sheetViews>
    <sheetView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19916" y="-25977"/>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23</xdr:row>
      <xdr:rowOff>0</xdr:rowOff>
    </xdr:from>
    <xdr:to>
      <xdr:col>13</xdr:col>
      <xdr:colOff>9525</xdr:colOff>
      <xdr:row>23</xdr:row>
      <xdr:rowOff>9525</xdr:rowOff>
    </xdr:to>
    <xdr:pic>
      <xdr:nvPicPr>
        <xdr:cNvPr id="4160"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9525</xdr:colOff>
      <xdr:row>9</xdr:row>
      <xdr:rowOff>9525</xdr:rowOff>
    </xdr:to>
    <xdr:pic>
      <xdr:nvPicPr>
        <xdr:cNvPr id="1151"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6</xdr:col>
      <xdr:colOff>0</xdr:colOff>
      <xdr:row>18</xdr:row>
      <xdr:rowOff>0</xdr:rowOff>
    </xdr:from>
    <xdr:to>
      <xdr:col>6</xdr:col>
      <xdr:colOff>9525</xdr:colOff>
      <xdr:row>18</xdr:row>
      <xdr:rowOff>9525</xdr:rowOff>
    </xdr:to>
    <xdr:pic>
      <xdr:nvPicPr>
        <xdr:cNvPr id="1152" name="Picture 2" descr="hit"/>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enableFormatConditionsCalculation="0">
    <tabColor indexed="52"/>
    <pageSetUpPr fitToPage="1"/>
  </sheetPr>
  <dimension ref="A1:BH338"/>
  <sheetViews>
    <sheetView showZeros="0" tabSelected="1" topLeftCell="A36" zoomScale="90" zoomScaleNormal="90" workbookViewId="0">
      <pane xSplit="2" topLeftCell="C1" activePane="topRight" state="frozen"/>
      <selection activeCell="B11" sqref="B11"/>
      <selection pane="topRight" activeCell="T55" sqref="T55"/>
    </sheetView>
  </sheetViews>
  <sheetFormatPr defaultRowHeight="12" customHeight="1"/>
  <cols>
    <col min="1" max="1" width="4.140625" style="158" customWidth="1"/>
    <col min="2" max="2" width="29" style="158" customWidth="1"/>
    <col min="3" max="5" width="5.140625" style="159" customWidth="1"/>
    <col min="6" max="6" width="5.140625" style="166" customWidth="1"/>
    <col min="7" max="10" width="5.140625" style="159" customWidth="1"/>
    <col min="11" max="11" width="5.140625" style="158" customWidth="1"/>
    <col min="12" max="12" width="5.140625" style="162" customWidth="1"/>
    <col min="13" max="13" width="5.140625" style="158" customWidth="1"/>
    <col min="14" max="14" width="5.140625" style="159" customWidth="1"/>
    <col min="15" max="23" width="5.140625" style="158" customWidth="1"/>
    <col min="24" max="24" width="5.140625" style="208" customWidth="1"/>
    <col min="25" max="25" width="7" style="158" customWidth="1"/>
    <col min="26" max="26" width="6.7109375" style="158" customWidth="1"/>
    <col min="27" max="27" width="3.140625" style="158" customWidth="1"/>
    <col min="28" max="28" width="22.7109375" style="158" customWidth="1"/>
    <col min="29" max="34" width="4.7109375" style="158" customWidth="1"/>
    <col min="35" max="35" width="5.28515625" style="158" customWidth="1"/>
    <col min="36" max="50" width="4.7109375" style="158" customWidth="1"/>
    <col min="51" max="51" width="9.140625" style="158" customWidth="1"/>
    <col min="52" max="16384" width="9.140625" style="158"/>
  </cols>
  <sheetData>
    <row r="1" spans="1:30" ht="13.5" hidden="1" customHeight="1">
      <c r="C1" s="159" t="s">
        <v>32</v>
      </c>
      <c r="D1" s="159" t="s">
        <v>33</v>
      </c>
      <c r="E1" s="159" t="s">
        <v>34</v>
      </c>
      <c r="F1" s="159" t="s">
        <v>35</v>
      </c>
      <c r="G1" s="159" t="s">
        <v>36</v>
      </c>
      <c r="H1" s="159" t="s">
        <v>37</v>
      </c>
      <c r="I1" s="159" t="s">
        <v>38</v>
      </c>
      <c r="J1" s="159" t="s">
        <v>39</v>
      </c>
      <c r="K1" s="159" t="s">
        <v>40</v>
      </c>
      <c r="L1" s="159" t="s">
        <v>41</v>
      </c>
      <c r="M1" s="159" t="s">
        <v>42</v>
      </c>
      <c r="N1" s="159" t="s">
        <v>43</v>
      </c>
      <c r="O1" s="159" t="s">
        <v>28</v>
      </c>
      <c r="P1" s="159" t="s">
        <v>44</v>
      </c>
      <c r="Q1" s="159" t="s">
        <v>45</v>
      </c>
      <c r="R1" s="159" t="s">
        <v>46</v>
      </c>
      <c r="S1" s="159" t="s">
        <v>47</v>
      </c>
      <c r="T1" s="159" t="s">
        <v>48</v>
      </c>
      <c r="U1" s="159" t="s">
        <v>49</v>
      </c>
      <c r="V1" s="159" t="s">
        <v>50</v>
      </c>
      <c r="W1" s="206" t="s">
        <v>51</v>
      </c>
      <c r="X1" s="206" t="s">
        <v>106</v>
      </c>
    </row>
    <row r="2" spans="1:30" ht="13.5" hidden="1" customHeight="1" thickBot="1">
      <c r="B2" s="160" t="s">
        <v>7</v>
      </c>
      <c r="C2" s="161" t="str">
        <f>Score!C1</f>
        <v>P</v>
      </c>
      <c r="D2" s="161">
        <v>1</v>
      </c>
      <c r="E2" s="161">
        <v>2</v>
      </c>
      <c r="F2" s="161">
        <v>3</v>
      </c>
      <c r="G2" s="161">
        <v>4</v>
      </c>
      <c r="H2" s="161">
        <v>5</v>
      </c>
      <c r="I2" s="161">
        <v>6</v>
      </c>
      <c r="J2" s="161">
        <v>7</v>
      </c>
      <c r="K2" s="161">
        <v>8</v>
      </c>
      <c r="L2" s="161">
        <v>9</v>
      </c>
      <c r="M2" s="161">
        <v>10</v>
      </c>
      <c r="N2" s="161">
        <v>11</v>
      </c>
      <c r="O2" s="161">
        <v>12</v>
      </c>
      <c r="P2" s="161">
        <v>13</v>
      </c>
      <c r="Q2" s="161">
        <v>14</v>
      </c>
      <c r="R2" s="161">
        <v>15</v>
      </c>
      <c r="S2" s="161">
        <v>16</v>
      </c>
      <c r="T2" s="161">
        <v>17</v>
      </c>
      <c r="U2" s="161">
        <v>18</v>
      </c>
      <c r="V2" s="161">
        <v>19</v>
      </c>
      <c r="W2" s="161">
        <v>20</v>
      </c>
      <c r="X2" s="207" t="s">
        <v>2</v>
      </c>
      <c r="Y2" s="159"/>
      <c r="AB2" s="277"/>
      <c r="AC2" s="159" t="s">
        <v>15</v>
      </c>
      <c r="AD2" s="159" t="s">
        <v>15</v>
      </c>
    </row>
    <row r="3" spans="1:30" ht="13.5" hidden="1" customHeight="1">
      <c r="A3" s="158">
        <v>1</v>
      </c>
      <c r="B3" s="162" t="str">
        <f t="shared" ref="B3:B19" ca="1" si="0">INDIRECT($AB3&amp;"!c1")</f>
        <v>Am Selfkant</v>
      </c>
      <c r="C3" s="175">
        <f ca="1">INDIRECT($AB3&amp;"!"&amp;C$1&amp;"22")+RAND()/10</f>
        <v>137.01687650127036</v>
      </c>
      <c r="D3" s="175">
        <f t="shared" ref="D3:M18" ca="1" si="1">INDIRECT($AB3&amp;"!"&amp;D$1&amp;"22")</f>
        <v>176</v>
      </c>
      <c r="E3" s="175">
        <f t="shared" ca="1" si="1"/>
        <v>192</v>
      </c>
      <c r="F3" s="175">
        <f t="shared" ca="1" si="1"/>
        <v>166</v>
      </c>
      <c r="G3" s="175">
        <f t="shared" ca="1" si="1"/>
        <v>143</v>
      </c>
      <c r="H3" s="175">
        <f t="shared" ca="1" si="1"/>
        <v>148</v>
      </c>
      <c r="I3" s="175">
        <f t="shared" ca="1" si="1"/>
        <v>164</v>
      </c>
      <c r="J3" s="175">
        <f t="shared" ca="1" si="1"/>
        <v>195</v>
      </c>
      <c r="K3" s="175">
        <f t="shared" ca="1" si="1"/>
        <v>195</v>
      </c>
      <c r="L3" s="175">
        <f t="shared" ca="1" si="1"/>
        <v>168</v>
      </c>
      <c r="M3" s="175">
        <f t="shared" ca="1" si="1"/>
        <v>132</v>
      </c>
      <c r="N3" s="175">
        <f t="shared" ref="N3:X18" ca="1" si="2">INDIRECT($AB3&amp;"!"&amp;N$1&amp;"22")</f>
        <v>183</v>
      </c>
      <c r="O3" s="175">
        <f t="shared" ca="1" si="2"/>
        <v>139</v>
      </c>
      <c r="P3" s="175">
        <f t="shared" ca="1" si="2"/>
        <v>209</v>
      </c>
      <c r="Q3" s="175">
        <f t="shared" ca="1" si="2"/>
        <v>136</v>
      </c>
      <c r="R3" s="175">
        <f t="shared" ca="1" si="2"/>
        <v>106</v>
      </c>
      <c r="S3" s="175">
        <f t="shared" ca="1" si="2"/>
        <v>87</v>
      </c>
      <c r="T3" s="175">
        <f t="shared" ca="1" si="2"/>
        <v>156</v>
      </c>
      <c r="U3" s="175">
        <f t="shared" ca="1" si="2"/>
        <v>196</v>
      </c>
      <c r="V3" s="175">
        <f t="shared" ca="1" si="2"/>
        <v>94</v>
      </c>
      <c r="W3" s="175">
        <f t="shared" ca="1" si="2"/>
        <v>190</v>
      </c>
      <c r="X3" s="209">
        <f t="shared" ca="1" si="2"/>
        <v>295</v>
      </c>
      <c r="Y3" s="282">
        <f t="shared" ref="Y3:Y12" ca="1" si="3">SUM(C3:X3)</f>
        <v>3607.0168765012704</v>
      </c>
      <c r="Z3" s="158">
        <f ca="1">RANK(Y3,$Y$3:$Y$13)</f>
        <v>2</v>
      </c>
      <c r="AA3" s="164"/>
      <c r="AB3" s="278" t="str">
        <f t="shared" ref="AB3:AB19" si="4">INDEX(lijst_sheets,,A3)</f>
        <v>Selfkant</v>
      </c>
      <c r="AC3" s="165">
        <f ca="1">IF(AB3&lt;&gt;"",HLOOKUP(AB3,originaliteit!$B$1:$M$48,48,0),"")</f>
        <v>0.90423317140874393</v>
      </c>
      <c r="AD3" s="165" t="e">
        <f ca="1">IF(AC3&lt;&gt;"",HLOOKUP(AC3,originaliteit!$B$1:$M$48,46,0),"")</f>
        <v>#N/A</v>
      </c>
    </row>
    <row r="4" spans="1:30" ht="13.5" hidden="1" customHeight="1">
      <c r="A4" s="158">
        <v>2</v>
      </c>
      <c r="B4" s="162" t="str">
        <f t="shared" ca="1" si="0"/>
        <v>City United</v>
      </c>
      <c r="C4" s="175">
        <f t="shared" ref="C4:C19" ca="1" si="5">INDIRECT($AB4&amp;"!"&amp;C$1&amp;"22")+RAND()/10</f>
        <v>158.04311302930557</v>
      </c>
      <c r="D4" s="175">
        <f t="shared" ca="1" si="1"/>
        <v>216</v>
      </c>
      <c r="E4" s="175">
        <f t="shared" ca="1" si="1"/>
        <v>182</v>
      </c>
      <c r="F4" s="175">
        <f t="shared" ca="1" si="1"/>
        <v>224</v>
      </c>
      <c r="G4" s="175">
        <f t="shared" ca="1" si="1"/>
        <v>150</v>
      </c>
      <c r="H4" s="175">
        <f t="shared" ca="1" si="1"/>
        <v>155</v>
      </c>
      <c r="I4" s="175">
        <f t="shared" ca="1" si="1"/>
        <v>168</v>
      </c>
      <c r="J4" s="175">
        <f t="shared" ca="1" si="1"/>
        <v>159</v>
      </c>
      <c r="K4" s="175">
        <f t="shared" ca="1" si="1"/>
        <v>160</v>
      </c>
      <c r="L4" s="175">
        <f t="shared" ca="1" si="1"/>
        <v>159</v>
      </c>
      <c r="M4" s="175">
        <f t="shared" ca="1" si="1"/>
        <v>98</v>
      </c>
      <c r="N4" s="175">
        <f t="shared" ca="1" si="2"/>
        <v>142</v>
      </c>
      <c r="O4" s="175">
        <f t="shared" ca="1" si="2"/>
        <v>133</v>
      </c>
      <c r="P4" s="175">
        <f t="shared" ca="1" si="2"/>
        <v>185</v>
      </c>
      <c r="Q4" s="175">
        <f t="shared" ca="1" si="2"/>
        <v>106</v>
      </c>
      <c r="R4" s="175">
        <f t="shared" ca="1" si="2"/>
        <v>100</v>
      </c>
      <c r="S4" s="175">
        <f t="shared" ca="1" si="2"/>
        <v>123</v>
      </c>
      <c r="T4" s="175">
        <f t="shared" ca="1" si="2"/>
        <v>118</v>
      </c>
      <c r="U4" s="175">
        <f t="shared" ca="1" si="2"/>
        <v>191</v>
      </c>
      <c r="V4" s="175">
        <f t="shared" ca="1" si="2"/>
        <v>89</v>
      </c>
      <c r="W4" s="175">
        <f t="shared" ca="1" si="2"/>
        <v>185</v>
      </c>
      <c r="X4" s="209">
        <f t="shared" ca="1" si="2"/>
        <v>234</v>
      </c>
      <c r="Y4" s="282">
        <f t="shared" ca="1" si="3"/>
        <v>3435.0431130293055</v>
      </c>
      <c r="Z4" s="158">
        <f t="shared" ref="Z4:Z19" ca="1" si="6">RANK(Y4,$Y$3:$Y$13)</f>
        <v>3</v>
      </c>
      <c r="AA4" s="164"/>
      <c r="AB4" s="278" t="str">
        <f t="shared" si="4"/>
        <v>City</v>
      </c>
      <c r="AC4" s="165">
        <f ca="1">IF(AB4&lt;&gt;"",HLOOKUP(AB4,originaliteit!$B$1:$M$48,48,0),"")</f>
        <v>0.91118881118881123</v>
      </c>
      <c r="AD4" s="165" t="e">
        <f ca="1">IF(AC4&lt;&gt;"",HLOOKUP(AC4,originaliteit!$B$1:$M$48,46,0),"")</f>
        <v>#N/A</v>
      </c>
    </row>
    <row r="5" spans="1:30" ht="13.5" hidden="1" customHeight="1">
      <c r="A5" s="158">
        <v>3</v>
      </c>
      <c r="B5" s="162" t="str">
        <f t="shared" ca="1" si="0"/>
        <v>De Lange Man</v>
      </c>
      <c r="C5" s="175">
        <f t="shared" ca="1" si="5"/>
        <v>147.08598647282534</v>
      </c>
      <c r="D5" s="175">
        <f t="shared" ca="1" si="1"/>
        <v>179</v>
      </c>
      <c r="E5" s="175">
        <f t="shared" ca="1" si="1"/>
        <v>168</v>
      </c>
      <c r="F5" s="175">
        <f t="shared" ca="1" si="1"/>
        <v>198</v>
      </c>
      <c r="G5" s="175">
        <f t="shared" ca="1" si="1"/>
        <v>120</v>
      </c>
      <c r="H5" s="175">
        <f t="shared" ca="1" si="1"/>
        <v>119</v>
      </c>
      <c r="I5" s="175">
        <f t="shared" ca="1" si="1"/>
        <v>138</v>
      </c>
      <c r="J5" s="175">
        <f t="shared" ca="1" si="1"/>
        <v>155</v>
      </c>
      <c r="K5" s="175">
        <f t="shared" ca="1" si="1"/>
        <v>156</v>
      </c>
      <c r="L5" s="175">
        <f t="shared" ca="1" si="1"/>
        <v>155</v>
      </c>
      <c r="M5" s="175">
        <f t="shared" ca="1" si="1"/>
        <v>134</v>
      </c>
      <c r="N5" s="175">
        <f t="shared" ca="1" si="2"/>
        <v>138</v>
      </c>
      <c r="O5" s="175">
        <f t="shared" ca="1" si="2"/>
        <v>110</v>
      </c>
      <c r="P5" s="175">
        <f t="shared" ca="1" si="2"/>
        <v>182</v>
      </c>
      <c r="Q5" s="175">
        <f t="shared" ca="1" si="2"/>
        <v>105</v>
      </c>
      <c r="R5" s="175">
        <f t="shared" ca="1" si="2"/>
        <v>124</v>
      </c>
      <c r="S5" s="175">
        <f t="shared" ca="1" si="2"/>
        <v>120</v>
      </c>
      <c r="T5" s="175">
        <f t="shared" ca="1" si="2"/>
        <v>120</v>
      </c>
      <c r="U5" s="175">
        <f t="shared" ca="1" si="2"/>
        <v>163</v>
      </c>
      <c r="V5" s="175">
        <f t="shared" ca="1" si="2"/>
        <v>91</v>
      </c>
      <c r="W5" s="175">
        <f t="shared" ca="1" si="2"/>
        <v>161</v>
      </c>
      <c r="X5" s="209">
        <f t="shared" ca="1" si="2"/>
        <v>239</v>
      </c>
      <c r="Y5" s="282">
        <f t="shared" ca="1" si="3"/>
        <v>3222.0859864728254</v>
      </c>
      <c r="Z5" s="158">
        <f t="shared" ca="1" si="6"/>
        <v>4</v>
      </c>
      <c r="AA5" s="164"/>
      <c r="AB5" s="278" t="str">
        <f t="shared" si="4"/>
        <v>Lange</v>
      </c>
      <c r="AC5" s="165">
        <f ca="1">IF(AB5&lt;&gt;"",HLOOKUP(AB5,originaliteit!$B$1:$M$48,48,0),"")</f>
        <v>0.91118881118881123</v>
      </c>
      <c r="AD5" s="165" t="e">
        <f ca="1">IF(AC5&lt;&gt;"",HLOOKUP(AC5,originaliteit!$B$1:$M$48,46,0),"")</f>
        <v>#N/A</v>
      </c>
    </row>
    <row r="6" spans="1:30" ht="13.5" hidden="1" customHeight="1">
      <c r="A6" s="158">
        <v>4</v>
      </c>
      <c r="B6" s="162" t="str">
        <f t="shared" ca="1" si="0"/>
        <v>Ode Kolonne</v>
      </c>
      <c r="C6" s="175">
        <f t="shared" ca="1" si="5"/>
        <v>165.0949671003313</v>
      </c>
      <c r="D6" s="175">
        <f t="shared" ca="1" si="1"/>
        <v>214</v>
      </c>
      <c r="E6" s="175">
        <f t="shared" ca="1" si="1"/>
        <v>199</v>
      </c>
      <c r="F6" s="175">
        <f t="shared" ca="1" si="1"/>
        <v>197</v>
      </c>
      <c r="G6" s="175">
        <f t="shared" ca="1" si="1"/>
        <v>147</v>
      </c>
      <c r="H6" s="175">
        <f t="shared" ca="1" si="1"/>
        <v>152</v>
      </c>
      <c r="I6" s="175">
        <f t="shared" ca="1" si="1"/>
        <v>154</v>
      </c>
      <c r="J6" s="175">
        <f t="shared" ca="1" si="1"/>
        <v>126</v>
      </c>
      <c r="K6" s="175">
        <f t="shared" ca="1" si="1"/>
        <v>130</v>
      </c>
      <c r="L6" s="175">
        <f t="shared" ca="1" si="1"/>
        <v>134</v>
      </c>
      <c r="M6" s="175">
        <f t="shared" ca="1" si="1"/>
        <v>80</v>
      </c>
      <c r="N6" s="175">
        <f t="shared" ca="1" si="2"/>
        <v>112</v>
      </c>
      <c r="O6" s="175">
        <f t="shared" ca="1" si="2"/>
        <v>116</v>
      </c>
      <c r="P6" s="175">
        <f t="shared" ca="1" si="2"/>
        <v>180</v>
      </c>
      <c r="Q6" s="175">
        <f t="shared" ca="1" si="2"/>
        <v>113</v>
      </c>
      <c r="R6" s="175">
        <f t="shared" ca="1" si="2"/>
        <v>92</v>
      </c>
      <c r="S6" s="175">
        <f t="shared" ca="1" si="2"/>
        <v>60</v>
      </c>
      <c r="T6" s="175">
        <f t="shared" ca="1" si="2"/>
        <v>91</v>
      </c>
      <c r="U6" s="175">
        <f t="shared" ca="1" si="2"/>
        <v>183</v>
      </c>
      <c r="V6" s="175">
        <f t="shared" ca="1" si="2"/>
        <v>71</v>
      </c>
      <c r="W6" s="175">
        <f t="shared" ca="1" si="2"/>
        <v>177</v>
      </c>
      <c r="X6" s="209">
        <f t="shared" ca="1" si="2"/>
        <v>182</v>
      </c>
      <c r="Y6" s="282">
        <f t="shared" ca="1" si="3"/>
        <v>3075.0949671003314</v>
      </c>
      <c r="Z6" s="158">
        <f t="shared" ca="1" si="6"/>
        <v>6</v>
      </c>
      <c r="AA6" s="164"/>
      <c r="AB6" s="278" t="str">
        <f t="shared" si="4"/>
        <v>Ode</v>
      </c>
      <c r="AC6" s="165">
        <f ca="1">IF(AB6&lt;&gt;"",HLOOKUP(AB6,originaliteit!$B$1:$M$48,48,0),"")</f>
        <v>0.91825229034531364</v>
      </c>
      <c r="AD6" s="165" t="e">
        <f ca="1">IF(AC6&lt;&gt;"",HLOOKUP(AC6,originaliteit!$B$1:$M$48,46,0),"")</f>
        <v>#N/A</v>
      </c>
    </row>
    <row r="7" spans="1:30" ht="13.5" hidden="1" customHeight="1">
      <c r="A7" s="158">
        <v>5</v>
      </c>
      <c r="B7" s="162" t="str">
        <f t="shared" ca="1" si="0"/>
        <v>Special Victims Unit</v>
      </c>
      <c r="C7" s="175">
        <f t="shared" ca="1" si="5"/>
        <v>162.06442598752645</v>
      </c>
      <c r="D7" s="175">
        <f t="shared" ca="1" si="1"/>
        <v>218</v>
      </c>
      <c r="E7" s="175">
        <f t="shared" ca="1" si="1"/>
        <v>190</v>
      </c>
      <c r="F7" s="175">
        <f t="shared" ca="1" si="1"/>
        <v>201</v>
      </c>
      <c r="G7" s="175">
        <f t="shared" ca="1" si="1"/>
        <v>148</v>
      </c>
      <c r="H7" s="175">
        <f t="shared" ca="1" si="1"/>
        <v>172</v>
      </c>
      <c r="I7" s="175">
        <f t="shared" ca="1" si="1"/>
        <v>168</v>
      </c>
      <c r="J7" s="175">
        <f t="shared" ca="1" si="1"/>
        <v>187</v>
      </c>
      <c r="K7" s="175">
        <f t="shared" ca="1" si="1"/>
        <v>172</v>
      </c>
      <c r="L7" s="175">
        <f t="shared" ca="1" si="1"/>
        <v>201</v>
      </c>
      <c r="M7" s="175">
        <f t="shared" ca="1" si="1"/>
        <v>125</v>
      </c>
      <c r="N7" s="175">
        <f t="shared" ca="1" si="2"/>
        <v>162</v>
      </c>
      <c r="O7" s="175">
        <f t="shared" ca="1" si="2"/>
        <v>153</v>
      </c>
      <c r="P7" s="175">
        <f t="shared" ca="1" si="2"/>
        <v>205</v>
      </c>
      <c r="Q7" s="175">
        <f t="shared" ca="1" si="2"/>
        <v>121</v>
      </c>
      <c r="R7" s="175">
        <f t="shared" ca="1" si="2"/>
        <v>91</v>
      </c>
      <c r="S7" s="175">
        <f t="shared" ca="1" si="2"/>
        <v>113</v>
      </c>
      <c r="T7" s="175">
        <f t="shared" ca="1" si="2"/>
        <v>193</v>
      </c>
      <c r="U7" s="175">
        <f t="shared" ca="1" si="2"/>
        <v>181</v>
      </c>
      <c r="V7" s="175">
        <f t="shared" ca="1" si="2"/>
        <v>129</v>
      </c>
      <c r="W7" s="175">
        <f t="shared" ca="1" si="2"/>
        <v>180</v>
      </c>
      <c r="X7" s="209">
        <f t="shared" ca="1" si="2"/>
        <v>307</v>
      </c>
      <c r="Y7" s="282">
        <f t="shared" ca="1" si="3"/>
        <v>3779.0644259875262</v>
      </c>
      <c r="Z7" s="158">
        <f t="shared" ca="1" si="6"/>
        <v>1</v>
      </c>
      <c r="AA7" s="164"/>
      <c r="AB7" s="278" t="str">
        <f t="shared" si="4"/>
        <v>SVU</v>
      </c>
      <c r="AC7" s="165">
        <f ca="1">IF(AB7&lt;&gt;"",HLOOKUP(AB7,originaliteit!$B$1:$M$48,48,0),"")</f>
        <v>0.96304508499630459</v>
      </c>
      <c r="AD7" s="165" t="e">
        <f ca="1">IF(AC7&lt;&gt;"",HLOOKUP(AC7,originaliteit!$B$1:$M$48,46,0),"")</f>
        <v>#N/A</v>
      </c>
    </row>
    <row r="8" spans="1:30" ht="13.5" hidden="1" customHeight="1">
      <c r="A8" s="158">
        <v>6</v>
      </c>
      <c r="B8" s="162" t="str">
        <f t="shared" ca="1" si="0"/>
        <v>IJffjes Boys</v>
      </c>
      <c r="C8" s="175">
        <f t="shared" ca="1" si="5"/>
        <v>175.0024797733507</v>
      </c>
      <c r="D8" s="175">
        <f t="shared" ca="1" si="1"/>
        <v>228</v>
      </c>
      <c r="E8" s="175">
        <f t="shared" ca="1" si="1"/>
        <v>129</v>
      </c>
      <c r="F8" s="175">
        <f t="shared" ca="1" si="1"/>
        <v>184</v>
      </c>
      <c r="G8" s="175">
        <f t="shared" ca="1" si="1"/>
        <v>84</v>
      </c>
      <c r="H8" s="175">
        <f t="shared" ca="1" si="1"/>
        <v>83</v>
      </c>
      <c r="I8" s="175">
        <f t="shared" ca="1" si="1"/>
        <v>97</v>
      </c>
      <c r="J8" s="175">
        <f t="shared" ca="1" si="1"/>
        <v>161</v>
      </c>
      <c r="K8" s="175">
        <f t="shared" ca="1" si="1"/>
        <v>158</v>
      </c>
      <c r="L8" s="175">
        <f t="shared" ca="1" si="1"/>
        <v>145</v>
      </c>
      <c r="M8" s="175">
        <f t="shared" ca="1" si="1"/>
        <v>156</v>
      </c>
      <c r="N8" s="175">
        <f t="shared" ca="1" si="2"/>
        <v>146</v>
      </c>
      <c r="O8" s="175">
        <f t="shared" ca="1" si="2"/>
        <v>96</v>
      </c>
      <c r="P8" s="175">
        <f t="shared" ca="1" si="2"/>
        <v>144</v>
      </c>
      <c r="Q8" s="175">
        <f t="shared" ca="1" si="2"/>
        <v>114</v>
      </c>
      <c r="R8" s="175">
        <f t="shared" ca="1" si="2"/>
        <v>81</v>
      </c>
      <c r="S8" s="175">
        <f t="shared" ca="1" si="2"/>
        <v>105</v>
      </c>
      <c r="T8" s="175">
        <f t="shared" ca="1" si="2"/>
        <v>163</v>
      </c>
      <c r="U8" s="175">
        <f t="shared" ca="1" si="2"/>
        <v>122</v>
      </c>
      <c r="V8" s="175">
        <f t="shared" ca="1" si="2"/>
        <v>75</v>
      </c>
      <c r="W8" s="175">
        <f t="shared" ca="1" si="2"/>
        <v>151</v>
      </c>
      <c r="X8" s="209">
        <f t="shared" ca="1" si="2"/>
        <v>254</v>
      </c>
      <c r="Y8" s="282">
        <f t="shared" ca="1" si="3"/>
        <v>3051.0024797733508</v>
      </c>
      <c r="Z8" s="158">
        <f t="shared" ca="1" si="6"/>
        <v>7</v>
      </c>
      <c r="AA8" s="164"/>
      <c r="AB8" s="278" t="str">
        <f t="shared" si="4"/>
        <v>IJff</v>
      </c>
      <c r="AC8" s="165">
        <f ca="1">IF(AB8&lt;&gt;"",HLOOKUP(AB8,originaliteit!$B$1:$M$48,48,0),"")</f>
        <v>0.97093889716840542</v>
      </c>
      <c r="AD8" s="165" t="e">
        <f ca="1">IF(AC8&lt;&gt;"",HLOOKUP(AC8,originaliteit!$B$1:$M$48,46,0),"")</f>
        <v>#N/A</v>
      </c>
    </row>
    <row r="9" spans="1:30" ht="13.5" hidden="1" customHeight="1">
      <c r="A9" s="158">
        <v>7</v>
      </c>
      <c r="B9" s="162" t="str">
        <f t="shared" ca="1" si="0"/>
        <v>El Gran</v>
      </c>
      <c r="C9" s="175">
        <f t="shared" ca="1" si="5"/>
        <v>149.00124629454118</v>
      </c>
      <c r="D9" s="175">
        <f t="shared" ca="1" si="1"/>
        <v>208</v>
      </c>
      <c r="E9" s="175">
        <f t="shared" ca="1" si="1"/>
        <v>149</v>
      </c>
      <c r="F9" s="175">
        <f t="shared" ca="1" si="1"/>
        <v>227</v>
      </c>
      <c r="G9" s="175">
        <f t="shared" ca="1" si="1"/>
        <v>91</v>
      </c>
      <c r="H9" s="175">
        <f t="shared" ca="1" si="1"/>
        <v>93</v>
      </c>
      <c r="I9" s="175">
        <f t="shared" ca="1" si="1"/>
        <v>124</v>
      </c>
      <c r="J9" s="175">
        <f t="shared" ca="1" si="1"/>
        <v>148</v>
      </c>
      <c r="K9" s="175">
        <f t="shared" ca="1" si="1"/>
        <v>107</v>
      </c>
      <c r="L9" s="175">
        <f t="shared" ca="1" si="1"/>
        <v>146</v>
      </c>
      <c r="M9" s="175">
        <f t="shared" ca="1" si="1"/>
        <v>82</v>
      </c>
      <c r="N9" s="175">
        <f t="shared" ca="1" si="2"/>
        <v>89</v>
      </c>
      <c r="O9" s="175">
        <f t="shared" ca="1" si="2"/>
        <v>96</v>
      </c>
      <c r="P9" s="175">
        <f t="shared" ca="1" si="2"/>
        <v>137</v>
      </c>
      <c r="Q9" s="175">
        <f t="shared" ca="1" si="2"/>
        <v>82</v>
      </c>
      <c r="R9" s="175">
        <f t="shared" ca="1" si="2"/>
        <v>66</v>
      </c>
      <c r="S9" s="175">
        <f t="shared" ca="1" si="2"/>
        <v>85</v>
      </c>
      <c r="T9" s="175">
        <f t="shared" ca="1" si="2"/>
        <v>133</v>
      </c>
      <c r="U9" s="175">
        <f t="shared" ca="1" si="2"/>
        <v>132</v>
      </c>
      <c r="V9" s="175">
        <f t="shared" ca="1" si="2"/>
        <v>89</v>
      </c>
      <c r="W9" s="175">
        <f t="shared" ca="1" si="2"/>
        <v>127</v>
      </c>
      <c r="X9" s="209">
        <f t="shared" ca="1" si="2"/>
        <v>183</v>
      </c>
      <c r="Y9" s="282">
        <f t="shared" ca="1" si="3"/>
        <v>2743.001246294541</v>
      </c>
      <c r="Z9" s="158">
        <f t="shared" ca="1" si="6"/>
        <v>9</v>
      </c>
      <c r="AA9" s="164"/>
      <c r="AB9" s="278" t="str">
        <f t="shared" si="4"/>
        <v>Gran</v>
      </c>
      <c r="AC9" s="165">
        <f ca="1">IF(AB9&lt;&gt;"",HLOOKUP(AB9,originaliteit!$B$1:$M$48,48,0),"")</f>
        <v>1.0211598746081505</v>
      </c>
      <c r="AD9" s="165" t="e">
        <f ca="1">IF(AC9&lt;&gt;"",HLOOKUP(AC9,originaliteit!$B$1:$M$48,46,0),"")</f>
        <v>#N/A</v>
      </c>
    </row>
    <row r="10" spans="1:30" ht="13.5" hidden="1" customHeight="1">
      <c r="A10" s="158">
        <v>8</v>
      </c>
      <c r="B10" s="162" t="str">
        <f t="shared" ca="1" si="0"/>
        <v>Winner on Wheels</v>
      </c>
      <c r="C10" s="175">
        <f t="shared" ca="1" si="5"/>
        <v>89.070957075090803</v>
      </c>
      <c r="D10" s="175">
        <f t="shared" ca="1" si="1"/>
        <v>132</v>
      </c>
      <c r="E10" s="175">
        <f t="shared" ca="1" si="1"/>
        <v>135</v>
      </c>
      <c r="F10" s="175">
        <f t="shared" ca="1" si="1"/>
        <v>124</v>
      </c>
      <c r="G10" s="175">
        <f t="shared" ca="1" si="1"/>
        <v>124</v>
      </c>
      <c r="H10" s="175">
        <f t="shared" ca="1" si="1"/>
        <v>143</v>
      </c>
      <c r="I10" s="175">
        <f t="shared" ca="1" si="1"/>
        <v>155</v>
      </c>
      <c r="J10" s="175">
        <f t="shared" ca="1" si="1"/>
        <v>211</v>
      </c>
      <c r="K10" s="175">
        <f t="shared" ca="1" si="1"/>
        <v>190</v>
      </c>
      <c r="L10" s="175">
        <f t="shared" ca="1" si="1"/>
        <v>165</v>
      </c>
      <c r="M10" s="175">
        <f t="shared" ca="1" si="1"/>
        <v>112</v>
      </c>
      <c r="N10" s="175">
        <f t="shared" ca="1" si="2"/>
        <v>161</v>
      </c>
      <c r="O10" s="175">
        <f t="shared" ca="1" si="2"/>
        <v>144</v>
      </c>
      <c r="P10" s="175">
        <f t="shared" ca="1" si="2"/>
        <v>172</v>
      </c>
      <c r="Q10" s="175">
        <f t="shared" ca="1" si="2"/>
        <v>106</v>
      </c>
      <c r="R10" s="175">
        <f t="shared" ca="1" si="2"/>
        <v>106</v>
      </c>
      <c r="S10" s="175">
        <f t="shared" ca="1" si="2"/>
        <v>83</v>
      </c>
      <c r="T10" s="175">
        <f t="shared" ca="1" si="2"/>
        <v>137</v>
      </c>
      <c r="U10" s="175">
        <f t="shared" ca="1" si="2"/>
        <v>142</v>
      </c>
      <c r="V10" s="175">
        <f t="shared" ca="1" si="2"/>
        <v>105</v>
      </c>
      <c r="W10" s="175">
        <f t="shared" ca="1" si="2"/>
        <v>141</v>
      </c>
      <c r="X10" s="209">
        <f t="shared" ca="1" si="2"/>
        <v>286</v>
      </c>
      <c r="Y10" s="282">
        <f t="shared" ca="1" si="3"/>
        <v>3163.0709570750905</v>
      </c>
      <c r="Z10" s="158">
        <f t="shared" ca="1" si="6"/>
        <v>5</v>
      </c>
      <c r="AA10" s="164"/>
      <c r="AB10" s="278" t="str">
        <f t="shared" si="4"/>
        <v>Winner</v>
      </c>
      <c r="AC10" s="165">
        <f ca="1">IF(AB10&lt;&gt;"",HLOOKUP(AB10,originaliteit!$B$1:$M$48,48,0),"")</f>
        <v>1.0482703137570395</v>
      </c>
      <c r="AD10" s="165" t="e">
        <f ca="1">IF(AC10&lt;&gt;"",HLOOKUP(AC10,originaliteit!$B$1:$M$48,46,0),"")</f>
        <v>#N/A</v>
      </c>
    </row>
    <row r="11" spans="1:30" ht="13.5" hidden="1" customHeight="1">
      <c r="A11" s="158">
        <v>9</v>
      </c>
      <c r="B11" s="162" t="str">
        <f t="shared" ca="1" si="0"/>
        <v>Ami</v>
      </c>
      <c r="C11" s="175">
        <f t="shared" ca="1" si="5"/>
        <v>96.047896017815276</v>
      </c>
      <c r="D11" s="175">
        <f t="shared" ca="1" si="1"/>
        <v>175</v>
      </c>
      <c r="E11" s="175">
        <f t="shared" ca="1" si="1"/>
        <v>123</v>
      </c>
      <c r="F11" s="175">
        <f t="shared" ca="1" si="1"/>
        <v>167</v>
      </c>
      <c r="G11" s="175">
        <f t="shared" ca="1" si="1"/>
        <v>116</v>
      </c>
      <c r="H11" s="175">
        <f t="shared" ca="1" si="1"/>
        <v>118</v>
      </c>
      <c r="I11" s="175">
        <f t="shared" ca="1" si="1"/>
        <v>114</v>
      </c>
      <c r="J11" s="175">
        <f t="shared" ca="1" si="1"/>
        <v>182</v>
      </c>
      <c r="K11" s="175">
        <f t="shared" ca="1" si="1"/>
        <v>137</v>
      </c>
      <c r="L11" s="175">
        <f t="shared" ca="1" si="1"/>
        <v>141</v>
      </c>
      <c r="M11" s="175">
        <f t="shared" ca="1" si="1"/>
        <v>103</v>
      </c>
      <c r="N11" s="175">
        <f t="shared" ca="1" si="2"/>
        <v>179</v>
      </c>
      <c r="O11" s="175">
        <f t="shared" ca="1" si="2"/>
        <v>112</v>
      </c>
      <c r="P11" s="175">
        <f t="shared" ca="1" si="2"/>
        <v>181</v>
      </c>
      <c r="Q11" s="175">
        <f t="shared" ca="1" si="2"/>
        <v>95</v>
      </c>
      <c r="R11" s="175">
        <f t="shared" ca="1" si="2"/>
        <v>86</v>
      </c>
      <c r="S11" s="175">
        <f t="shared" ca="1" si="2"/>
        <v>79</v>
      </c>
      <c r="T11" s="175">
        <f t="shared" ca="1" si="2"/>
        <v>162</v>
      </c>
      <c r="U11" s="175">
        <f t="shared" ca="1" si="2"/>
        <v>138</v>
      </c>
      <c r="V11" s="175">
        <f t="shared" ca="1" si="2"/>
        <v>93</v>
      </c>
      <c r="W11" s="175">
        <f t="shared" ca="1" si="2"/>
        <v>150</v>
      </c>
      <c r="X11" s="209">
        <f t="shared" ca="1" si="2"/>
        <v>263</v>
      </c>
      <c r="Y11" s="282">
        <f t="shared" ca="1" si="3"/>
        <v>3010.0478960178152</v>
      </c>
      <c r="Z11" s="158">
        <f t="shared" ca="1" si="6"/>
        <v>8</v>
      </c>
      <c r="AA11" s="164"/>
      <c r="AB11" s="278" t="str">
        <f t="shared" si="4"/>
        <v>Ami</v>
      </c>
      <c r="AC11" s="165">
        <f ca="1">IF(AB11&lt;&gt;"",HLOOKUP(AB11,originaliteit!$B$1:$M$48,48,0),"")</f>
        <v>1.0482703137570395</v>
      </c>
      <c r="AD11" s="165" t="e">
        <f ca="1">IF(AC11&lt;&gt;"",HLOOKUP(AC11,originaliteit!$B$1:$M$48,46,0),"")</f>
        <v>#N/A</v>
      </c>
    </row>
    <row r="12" spans="1:30" ht="13.5" hidden="1" customHeight="1">
      <c r="A12" s="158">
        <v>10</v>
      </c>
      <c r="B12" s="162" t="str">
        <f t="shared" ca="1" si="0"/>
        <v>Mahawong</v>
      </c>
      <c r="C12" s="175">
        <f t="shared" ca="1" si="5"/>
        <v>111.08793798536536</v>
      </c>
      <c r="D12" s="175">
        <f t="shared" ca="1" si="1"/>
        <v>113</v>
      </c>
      <c r="E12" s="175">
        <f t="shared" ca="1" si="1"/>
        <v>136</v>
      </c>
      <c r="F12" s="175">
        <f t="shared" ca="1" si="1"/>
        <v>116</v>
      </c>
      <c r="G12" s="175">
        <f t="shared" ca="1" si="1"/>
        <v>112</v>
      </c>
      <c r="H12" s="175">
        <f t="shared" ca="1" si="1"/>
        <v>122</v>
      </c>
      <c r="I12" s="175">
        <f t="shared" ca="1" si="1"/>
        <v>102</v>
      </c>
      <c r="J12" s="175">
        <f t="shared" ca="1" si="1"/>
        <v>141</v>
      </c>
      <c r="K12" s="175">
        <f t="shared" ca="1" si="1"/>
        <v>100</v>
      </c>
      <c r="L12" s="175">
        <f t="shared" ca="1" si="1"/>
        <v>100</v>
      </c>
      <c r="M12" s="175">
        <f t="shared" ca="1" si="1"/>
        <v>101</v>
      </c>
      <c r="N12" s="175">
        <f t="shared" ca="1" si="2"/>
        <v>122</v>
      </c>
      <c r="O12" s="175">
        <f t="shared" ca="1" si="2"/>
        <v>54</v>
      </c>
      <c r="P12" s="175">
        <f t="shared" ca="1" si="2"/>
        <v>135</v>
      </c>
      <c r="Q12" s="175">
        <f t="shared" ca="1" si="2"/>
        <v>71</v>
      </c>
      <c r="R12" s="175">
        <f t="shared" ca="1" si="2"/>
        <v>70</v>
      </c>
      <c r="S12" s="175">
        <f t="shared" ca="1" si="2"/>
        <v>106</v>
      </c>
      <c r="T12" s="175">
        <f t="shared" ca="1" si="2"/>
        <v>118</v>
      </c>
      <c r="U12" s="175">
        <f t="shared" ca="1" si="2"/>
        <v>110</v>
      </c>
      <c r="V12" s="175">
        <f t="shared" ca="1" si="2"/>
        <v>86</v>
      </c>
      <c r="W12" s="175">
        <f t="shared" ca="1" si="2"/>
        <v>97</v>
      </c>
      <c r="X12" s="209">
        <f t="shared" ca="1" si="2"/>
        <v>172</v>
      </c>
      <c r="Y12" s="282">
        <f t="shared" ca="1" si="3"/>
        <v>2395.0879379853654</v>
      </c>
      <c r="Z12" s="158">
        <f t="shared" ca="1" si="6"/>
        <v>11</v>
      </c>
      <c r="AA12" s="164"/>
      <c r="AB12" s="278" t="str">
        <f t="shared" si="4"/>
        <v>Mahawong</v>
      </c>
      <c r="AC12" s="165">
        <f ca="1">IF(AB12&lt;&gt;"",HLOOKUP(AB12,originaliteit!$B$1:$M$48,48,0),"")</f>
        <v>1.1965105601469237</v>
      </c>
      <c r="AD12" s="165" t="e">
        <f ca="1">IF(AC12&lt;&gt;"",HLOOKUP(AC12,originaliteit!$B$1:$M$48,46,0),"")</f>
        <v>#N/A</v>
      </c>
    </row>
    <row r="13" spans="1:30" ht="13.5" hidden="1" customHeight="1">
      <c r="A13" s="158">
        <v>11</v>
      </c>
      <c r="B13" s="162" t="str">
        <f t="shared" ca="1" si="0"/>
        <v>Lothars Revenge: Oranje (naar) boven!</v>
      </c>
      <c r="C13" s="175">
        <f t="shared" ca="1" si="5"/>
        <v>106.02933858658007</v>
      </c>
      <c r="D13" s="175">
        <f t="shared" ca="1" si="1"/>
        <v>185</v>
      </c>
      <c r="E13" s="175">
        <f t="shared" ca="1" si="1"/>
        <v>117</v>
      </c>
      <c r="F13" s="175">
        <f t="shared" ca="1" si="1"/>
        <v>159</v>
      </c>
      <c r="G13" s="175">
        <f t="shared" ca="1" si="1"/>
        <v>100</v>
      </c>
      <c r="H13" s="175">
        <f t="shared" ca="1" si="1"/>
        <v>89</v>
      </c>
      <c r="I13" s="175">
        <f t="shared" ca="1" si="1"/>
        <v>108</v>
      </c>
      <c r="J13" s="175">
        <f t="shared" ca="1" si="1"/>
        <v>143</v>
      </c>
      <c r="K13" s="175">
        <f t="shared" ca="1" si="1"/>
        <v>112</v>
      </c>
      <c r="L13" s="175">
        <f t="shared" ca="1" si="1"/>
        <v>159</v>
      </c>
      <c r="M13" s="175">
        <f t="shared" ca="1" si="1"/>
        <v>80</v>
      </c>
      <c r="N13" s="175">
        <f t="shared" ca="1" si="2"/>
        <v>61</v>
      </c>
      <c r="O13" s="175">
        <f t="shared" ca="1" si="2"/>
        <v>97</v>
      </c>
      <c r="P13" s="175">
        <f t="shared" ca="1" si="2"/>
        <v>106</v>
      </c>
      <c r="Q13" s="175">
        <f t="shared" ca="1" si="2"/>
        <v>77</v>
      </c>
      <c r="R13" s="175">
        <f t="shared" ca="1" si="2"/>
        <v>61</v>
      </c>
      <c r="S13" s="175">
        <f t="shared" ca="1" si="2"/>
        <v>45</v>
      </c>
      <c r="T13" s="175">
        <f t="shared" ca="1" si="2"/>
        <v>144</v>
      </c>
      <c r="U13" s="175">
        <f t="shared" ca="1" si="2"/>
        <v>121</v>
      </c>
      <c r="V13" s="175">
        <f t="shared" ca="1" si="2"/>
        <v>76</v>
      </c>
      <c r="W13" s="175">
        <f t="shared" ca="1" si="2"/>
        <v>112</v>
      </c>
      <c r="X13" s="209">
        <f t="shared" ca="1" si="2"/>
        <v>159</v>
      </c>
      <c r="Y13" s="282">
        <f t="shared" ref="Y13:Y19" ca="1" si="7">SUM(C13:X13)</f>
        <v>2417.0293385865798</v>
      </c>
      <c r="Z13" s="158">
        <f t="shared" ca="1" si="6"/>
        <v>10</v>
      </c>
      <c r="AA13" s="164"/>
      <c r="AB13" s="278" t="str">
        <f t="shared" si="4"/>
        <v>Lothar</v>
      </c>
      <c r="AC13" s="165">
        <f ca="1">IF(AB13&lt;&gt;"",HLOOKUP(AB13,originaliteit!$B$1:$M$48,48,0),"")</f>
        <v>1.2211808809746953</v>
      </c>
      <c r="AD13" s="165" t="e">
        <f ca="1">IF(AC13&lt;&gt;"",HLOOKUP(AC13,originaliteit!$B$1:$M$48,41,0),"")</f>
        <v>#N/A</v>
      </c>
    </row>
    <row r="14" spans="1:30" ht="13.5" hidden="1" customHeight="1">
      <c r="A14" s="158">
        <v>12</v>
      </c>
      <c r="B14" s="162" t="e">
        <f t="shared" ca="1" si="0"/>
        <v>#REF!</v>
      </c>
      <c r="C14" s="175" t="e">
        <f t="shared" ca="1" si="5"/>
        <v>#REF!</v>
      </c>
      <c r="D14" s="175" t="e">
        <f t="shared" ca="1" si="1"/>
        <v>#REF!</v>
      </c>
      <c r="E14" s="175" t="e">
        <f t="shared" ca="1" si="1"/>
        <v>#REF!</v>
      </c>
      <c r="F14" s="175" t="e">
        <f t="shared" ca="1" si="1"/>
        <v>#REF!</v>
      </c>
      <c r="G14" s="175" t="e">
        <f t="shared" ca="1" si="1"/>
        <v>#REF!</v>
      </c>
      <c r="H14" s="175" t="e">
        <f t="shared" ca="1" si="1"/>
        <v>#REF!</v>
      </c>
      <c r="I14" s="175" t="e">
        <f t="shared" ca="1" si="1"/>
        <v>#REF!</v>
      </c>
      <c r="J14" s="175" t="e">
        <f t="shared" ca="1" si="1"/>
        <v>#REF!</v>
      </c>
      <c r="K14" s="175" t="e">
        <f t="shared" ca="1" si="1"/>
        <v>#REF!</v>
      </c>
      <c r="L14" s="175" t="e">
        <f t="shared" ca="1" si="1"/>
        <v>#REF!</v>
      </c>
      <c r="M14" s="175" t="e">
        <f t="shared" ca="1" si="1"/>
        <v>#REF!</v>
      </c>
      <c r="N14" s="175" t="e">
        <f t="shared" ca="1" si="2"/>
        <v>#REF!</v>
      </c>
      <c r="O14" s="175" t="e">
        <f t="shared" ca="1" si="2"/>
        <v>#REF!</v>
      </c>
      <c r="P14" s="175" t="e">
        <f t="shared" ca="1" si="2"/>
        <v>#REF!</v>
      </c>
      <c r="Q14" s="175" t="e">
        <f t="shared" ca="1" si="2"/>
        <v>#REF!</v>
      </c>
      <c r="R14" s="175" t="e">
        <f t="shared" ca="1" si="2"/>
        <v>#REF!</v>
      </c>
      <c r="S14" s="175" t="e">
        <f t="shared" ca="1" si="2"/>
        <v>#REF!</v>
      </c>
      <c r="T14" s="175" t="e">
        <f t="shared" ca="1" si="2"/>
        <v>#REF!</v>
      </c>
      <c r="U14" s="175" t="e">
        <f t="shared" ca="1" si="2"/>
        <v>#REF!</v>
      </c>
      <c r="V14" s="175" t="e">
        <f t="shared" ca="1" si="2"/>
        <v>#REF!</v>
      </c>
      <c r="W14" s="175" t="e">
        <f t="shared" ca="1" si="2"/>
        <v>#REF!</v>
      </c>
      <c r="X14" s="209" t="e">
        <f t="shared" ca="1" si="2"/>
        <v>#REF!</v>
      </c>
      <c r="Y14" s="282" t="e">
        <f t="shared" ca="1" si="7"/>
        <v>#REF!</v>
      </c>
      <c r="Z14" s="158" t="e">
        <f t="shared" ca="1" si="6"/>
        <v>#REF!</v>
      </c>
      <c r="AA14" s="164"/>
      <c r="AB14" s="278" t="e">
        <f t="shared" si="4"/>
        <v>#REF!</v>
      </c>
      <c r="AC14" s="165" t="e">
        <f>IF(AB14&lt;&gt;"",HLOOKUP(AB14,originaliteit!$B$1:$M$48,48,0),"")</f>
        <v>#REF!</v>
      </c>
      <c r="AD14" s="165" t="e">
        <f>IF(AC14&lt;&gt;"",HLOOKUP(AC14,originaliteit!$B$1:$M$48,41,0),"")</f>
        <v>#REF!</v>
      </c>
    </row>
    <row r="15" spans="1:30" ht="13.5" hidden="1" customHeight="1">
      <c r="A15" s="158">
        <v>13</v>
      </c>
      <c r="B15" s="162" t="e">
        <f t="shared" ca="1" si="0"/>
        <v>#REF!</v>
      </c>
      <c r="C15" s="175" t="e">
        <f t="shared" ca="1" si="5"/>
        <v>#REF!</v>
      </c>
      <c r="D15" s="175" t="e">
        <f t="shared" ca="1" si="1"/>
        <v>#REF!</v>
      </c>
      <c r="E15" s="175" t="e">
        <f t="shared" ca="1" si="1"/>
        <v>#REF!</v>
      </c>
      <c r="F15" s="175" t="e">
        <f t="shared" ca="1" si="1"/>
        <v>#REF!</v>
      </c>
      <c r="G15" s="175" t="e">
        <f t="shared" ca="1" si="1"/>
        <v>#REF!</v>
      </c>
      <c r="H15" s="175" t="e">
        <f t="shared" ca="1" si="1"/>
        <v>#REF!</v>
      </c>
      <c r="I15" s="175" t="e">
        <f t="shared" ca="1" si="1"/>
        <v>#REF!</v>
      </c>
      <c r="J15" s="175" t="e">
        <f t="shared" ca="1" si="1"/>
        <v>#REF!</v>
      </c>
      <c r="K15" s="175" t="e">
        <f t="shared" ca="1" si="1"/>
        <v>#REF!</v>
      </c>
      <c r="L15" s="175" t="e">
        <f t="shared" ca="1" si="1"/>
        <v>#REF!</v>
      </c>
      <c r="M15" s="175" t="e">
        <f t="shared" ca="1" si="1"/>
        <v>#REF!</v>
      </c>
      <c r="N15" s="175" t="e">
        <f t="shared" ca="1" si="2"/>
        <v>#REF!</v>
      </c>
      <c r="O15" s="175" t="e">
        <f t="shared" ca="1" si="2"/>
        <v>#REF!</v>
      </c>
      <c r="P15" s="175" t="e">
        <f t="shared" ca="1" si="2"/>
        <v>#REF!</v>
      </c>
      <c r="Q15" s="175" t="e">
        <f t="shared" ca="1" si="2"/>
        <v>#REF!</v>
      </c>
      <c r="R15" s="175" t="e">
        <f t="shared" ca="1" si="2"/>
        <v>#REF!</v>
      </c>
      <c r="S15" s="175" t="e">
        <f t="shared" ca="1" si="2"/>
        <v>#REF!</v>
      </c>
      <c r="T15" s="175" t="e">
        <f t="shared" ca="1" si="2"/>
        <v>#REF!</v>
      </c>
      <c r="U15" s="175" t="e">
        <f t="shared" ca="1" si="2"/>
        <v>#REF!</v>
      </c>
      <c r="V15" s="175" t="e">
        <f t="shared" ca="1" si="2"/>
        <v>#REF!</v>
      </c>
      <c r="W15" s="175" t="e">
        <f t="shared" ca="1" si="2"/>
        <v>#REF!</v>
      </c>
      <c r="X15" s="209" t="e">
        <f t="shared" ca="1" si="2"/>
        <v>#REF!</v>
      </c>
      <c r="Y15" s="282" t="e">
        <f t="shared" ca="1" si="7"/>
        <v>#REF!</v>
      </c>
      <c r="Z15" s="158" t="e">
        <f t="shared" ca="1" si="6"/>
        <v>#REF!</v>
      </c>
      <c r="AA15" s="164"/>
      <c r="AB15" s="278" t="e">
        <f t="shared" si="4"/>
        <v>#REF!</v>
      </c>
      <c r="AC15" s="165" t="e">
        <f>IF(AB15&lt;&gt;"",HLOOKUP(AB15,originaliteit!$B$1:$M$48,48,0),"")</f>
        <v>#REF!</v>
      </c>
      <c r="AD15" s="165" t="e">
        <f>IF(AC15&lt;&gt;"",HLOOKUP(AC15,originaliteit!$B$1:$M$48,41,0),"")</f>
        <v>#REF!</v>
      </c>
    </row>
    <row r="16" spans="1:30" ht="13.5" hidden="1" customHeight="1">
      <c r="A16" s="158">
        <v>14</v>
      </c>
      <c r="B16" s="162" t="e">
        <f t="shared" ca="1" si="0"/>
        <v>#REF!</v>
      </c>
      <c r="C16" s="175" t="e">
        <f t="shared" ca="1" si="5"/>
        <v>#REF!</v>
      </c>
      <c r="D16" s="175" t="e">
        <f t="shared" ca="1" si="1"/>
        <v>#REF!</v>
      </c>
      <c r="E16" s="175" t="e">
        <f t="shared" ca="1" si="1"/>
        <v>#REF!</v>
      </c>
      <c r="F16" s="175" t="e">
        <f t="shared" ca="1" si="1"/>
        <v>#REF!</v>
      </c>
      <c r="G16" s="175" t="e">
        <f t="shared" ca="1" si="1"/>
        <v>#REF!</v>
      </c>
      <c r="H16" s="175" t="e">
        <f t="shared" ca="1" si="1"/>
        <v>#REF!</v>
      </c>
      <c r="I16" s="175" t="e">
        <f t="shared" ca="1" si="1"/>
        <v>#REF!</v>
      </c>
      <c r="J16" s="175" t="e">
        <f t="shared" ca="1" si="1"/>
        <v>#REF!</v>
      </c>
      <c r="K16" s="175" t="e">
        <f t="shared" ca="1" si="1"/>
        <v>#REF!</v>
      </c>
      <c r="L16" s="175" t="e">
        <f t="shared" ca="1" si="1"/>
        <v>#REF!</v>
      </c>
      <c r="M16" s="175" t="e">
        <f t="shared" ca="1" si="1"/>
        <v>#REF!</v>
      </c>
      <c r="N16" s="175" t="e">
        <f t="shared" ca="1" si="2"/>
        <v>#REF!</v>
      </c>
      <c r="O16" s="175" t="e">
        <f t="shared" ca="1" si="2"/>
        <v>#REF!</v>
      </c>
      <c r="P16" s="175" t="e">
        <f t="shared" ca="1" si="2"/>
        <v>#REF!</v>
      </c>
      <c r="Q16" s="175" t="e">
        <f t="shared" ca="1" si="2"/>
        <v>#REF!</v>
      </c>
      <c r="R16" s="175" t="e">
        <f t="shared" ca="1" si="2"/>
        <v>#REF!</v>
      </c>
      <c r="S16" s="175" t="e">
        <f t="shared" ca="1" si="2"/>
        <v>#REF!</v>
      </c>
      <c r="T16" s="175" t="e">
        <f t="shared" ca="1" si="2"/>
        <v>#REF!</v>
      </c>
      <c r="U16" s="175" t="e">
        <f t="shared" ca="1" si="2"/>
        <v>#REF!</v>
      </c>
      <c r="V16" s="175" t="e">
        <f t="shared" ca="1" si="2"/>
        <v>#REF!</v>
      </c>
      <c r="W16" s="175" t="e">
        <f t="shared" ca="1" si="2"/>
        <v>#REF!</v>
      </c>
      <c r="X16" s="209" t="e">
        <f t="shared" ca="1" si="2"/>
        <v>#REF!</v>
      </c>
      <c r="Y16" s="282" t="e">
        <f t="shared" ca="1" si="7"/>
        <v>#REF!</v>
      </c>
      <c r="Z16" s="158" t="e">
        <f t="shared" ca="1" si="6"/>
        <v>#REF!</v>
      </c>
      <c r="AA16" s="164"/>
      <c r="AB16" s="278" t="e">
        <f t="shared" si="4"/>
        <v>#REF!</v>
      </c>
      <c r="AC16" s="165" t="e">
        <f>IF(AB16&lt;&gt;"",HLOOKUP(AB16,originaliteit!$B$1:$M$48,48,0),"")</f>
        <v>#REF!</v>
      </c>
      <c r="AD16" s="165" t="e">
        <f>IF(AC16&lt;&gt;"",HLOOKUP(AC16,originaliteit!$B$1:$M$48,41,0),"")</f>
        <v>#REF!</v>
      </c>
    </row>
    <row r="17" spans="1:50" ht="13.5" hidden="1" customHeight="1">
      <c r="A17" s="158">
        <v>15</v>
      </c>
      <c r="B17" s="162" t="e">
        <f t="shared" ca="1" si="0"/>
        <v>#REF!</v>
      </c>
      <c r="C17" s="175" t="e">
        <f t="shared" ca="1" si="5"/>
        <v>#REF!</v>
      </c>
      <c r="D17" s="175" t="e">
        <f t="shared" ca="1" si="1"/>
        <v>#REF!</v>
      </c>
      <c r="E17" s="175" t="e">
        <f t="shared" ca="1" si="1"/>
        <v>#REF!</v>
      </c>
      <c r="F17" s="175" t="e">
        <f t="shared" ca="1" si="1"/>
        <v>#REF!</v>
      </c>
      <c r="G17" s="175" t="e">
        <f t="shared" ca="1" si="1"/>
        <v>#REF!</v>
      </c>
      <c r="H17" s="175" t="e">
        <f t="shared" ca="1" si="1"/>
        <v>#REF!</v>
      </c>
      <c r="I17" s="175" t="e">
        <f t="shared" ca="1" si="1"/>
        <v>#REF!</v>
      </c>
      <c r="J17" s="175" t="e">
        <f t="shared" ca="1" si="1"/>
        <v>#REF!</v>
      </c>
      <c r="K17" s="175" t="e">
        <f t="shared" ca="1" si="1"/>
        <v>#REF!</v>
      </c>
      <c r="L17" s="175" t="e">
        <f t="shared" ca="1" si="1"/>
        <v>#REF!</v>
      </c>
      <c r="M17" s="175" t="e">
        <f t="shared" ca="1" si="1"/>
        <v>#REF!</v>
      </c>
      <c r="N17" s="175" t="e">
        <f t="shared" ca="1" si="2"/>
        <v>#REF!</v>
      </c>
      <c r="O17" s="175" t="e">
        <f t="shared" ca="1" si="2"/>
        <v>#REF!</v>
      </c>
      <c r="P17" s="175" t="e">
        <f t="shared" ca="1" si="2"/>
        <v>#REF!</v>
      </c>
      <c r="Q17" s="175" t="e">
        <f t="shared" ca="1" si="2"/>
        <v>#REF!</v>
      </c>
      <c r="R17" s="175" t="e">
        <f t="shared" ca="1" si="2"/>
        <v>#REF!</v>
      </c>
      <c r="S17" s="175" t="e">
        <f t="shared" ca="1" si="2"/>
        <v>#REF!</v>
      </c>
      <c r="T17" s="175" t="e">
        <f t="shared" ca="1" si="2"/>
        <v>#REF!</v>
      </c>
      <c r="U17" s="175" t="e">
        <f t="shared" ca="1" si="2"/>
        <v>#REF!</v>
      </c>
      <c r="V17" s="175" t="e">
        <f t="shared" ca="1" si="2"/>
        <v>#REF!</v>
      </c>
      <c r="W17" s="175" t="e">
        <f t="shared" ca="1" si="2"/>
        <v>#REF!</v>
      </c>
      <c r="X17" s="209" t="e">
        <f t="shared" ca="1" si="2"/>
        <v>#REF!</v>
      </c>
      <c r="Y17" s="282" t="e">
        <f t="shared" ca="1" si="7"/>
        <v>#REF!</v>
      </c>
      <c r="Z17" s="158" t="e">
        <f t="shared" ca="1" si="6"/>
        <v>#REF!</v>
      </c>
      <c r="AA17" s="164"/>
      <c r="AB17" s="278" t="e">
        <f t="shared" si="4"/>
        <v>#REF!</v>
      </c>
      <c r="AC17" s="165" t="e">
        <f>IF(AB17&lt;&gt;"",HLOOKUP(AB17,originaliteit!$B$1:$M$48,48,0),"")</f>
        <v>#REF!</v>
      </c>
      <c r="AD17" s="165" t="e">
        <f>IF(AC17&lt;&gt;"",HLOOKUP(AC17,originaliteit!$B$1:$M$48,41,0),"")</f>
        <v>#REF!</v>
      </c>
    </row>
    <row r="18" spans="1:50" ht="13.5" hidden="1" customHeight="1">
      <c r="A18" s="158">
        <v>16</v>
      </c>
      <c r="B18" s="162" t="e">
        <f t="shared" ca="1" si="0"/>
        <v>#REF!</v>
      </c>
      <c r="C18" s="175" t="e">
        <f t="shared" ca="1" si="5"/>
        <v>#REF!</v>
      </c>
      <c r="D18" s="175" t="e">
        <f t="shared" ca="1" si="1"/>
        <v>#REF!</v>
      </c>
      <c r="E18" s="175" t="e">
        <f t="shared" ca="1" si="1"/>
        <v>#REF!</v>
      </c>
      <c r="F18" s="175" t="e">
        <f t="shared" ca="1" si="1"/>
        <v>#REF!</v>
      </c>
      <c r="G18" s="175" t="e">
        <f t="shared" ca="1" si="1"/>
        <v>#REF!</v>
      </c>
      <c r="H18" s="175" t="e">
        <f t="shared" ca="1" si="1"/>
        <v>#REF!</v>
      </c>
      <c r="I18" s="175" t="e">
        <f t="shared" ca="1" si="1"/>
        <v>#REF!</v>
      </c>
      <c r="J18" s="175" t="e">
        <f t="shared" ca="1" si="1"/>
        <v>#REF!</v>
      </c>
      <c r="K18" s="175" t="e">
        <f t="shared" ca="1" si="1"/>
        <v>#REF!</v>
      </c>
      <c r="L18" s="175" t="e">
        <f t="shared" ca="1" si="1"/>
        <v>#REF!</v>
      </c>
      <c r="M18" s="175" t="e">
        <f t="shared" ca="1" si="1"/>
        <v>#REF!</v>
      </c>
      <c r="N18" s="175" t="e">
        <f t="shared" ca="1" si="2"/>
        <v>#REF!</v>
      </c>
      <c r="O18" s="175" t="e">
        <f t="shared" ca="1" si="2"/>
        <v>#REF!</v>
      </c>
      <c r="P18" s="175" t="e">
        <f t="shared" ca="1" si="2"/>
        <v>#REF!</v>
      </c>
      <c r="Q18" s="175" t="e">
        <f t="shared" ca="1" si="2"/>
        <v>#REF!</v>
      </c>
      <c r="R18" s="175" t="e">
        <f t="shared" ca="1" si="2"/>
        <v>#REF!</v>
      </c>
      <c r="S18" s="175" t="e">
        <f t="shared" ca="1" si="2"/>
        <v>#REF!</v>
      </c>
      <c r="T18" s="175" t="e">
        <f t="shared" ca="1" si="2"/>
        <v>#REF!</v>
      </c>
      <c r="U18" s="175" t="e">
        <f t="shared" ca="1" si="2"/>
        <v>#REF!</v>
      </c>
      <c r="V18" s="175" t="e">
        <f t="shared" ca="1" si="2"/>
        <v>#REF!</v>
      </c>
      <c r="W18" s="175" t="e">
        <f t="shared" ca="1" si="2"/>
        <v>#REF!</v>
      </c>
      <c r="X18" s="209" t="e">
        <f t="shared" ca="1" si="2"/>
        <v>#REF!</v>
      </c>
      <c r="Y18" s="282" t="e">
        <f t="shared" ca="1" si="7"/>
        <v>#REF!</v>
      </c>
      <c r="Z18" s="158" t="e">
        <f t="shared" ca="1" si="6"/>
        <v>#REF!</v>
      </c>
      <c r="AA18" s="164"/>
      <c r="AB18" s="278" t="e">
        <f t="shared" si="4"/>
        <v>#REF!</v>
      </c>
      <c r="AC18" s="165" t="e">
        <f>IF(AB18&lt;&gt;"",HLOOKUP(AB18,originaliteit!$B$1:$M$48,48,0),"")</f>
        <v>#REF!</v>
      </c>
      <c r="AD18" s="165" t="e">
        <f>IF(AC18&lt;&gt;"",HLOOKUP(AC18,originaliteit!$B$1:$M$48,41,0),"")</f>
        <v>#REF!</v>
      </c>
    </row>
    <row r="19" spans="1:50" ht="13.5" hidden="1" customHeight="1">
      <c r="A19" s="158">
        <v>17</v>
      </c>
      <c r="B19" s="162" t="e">
        <f t="shared" ca="1" si="0"/>
        <v>#REF!</v>
      </c>
      <c r="C19" s="175" t="e">
        <f t="shared" ca="1" si="5"/>
        <v>#REF!</v>
      </c>
      <c r="D19" s="175" t="e">
        <f t="shared" ref="D19:X19" ca="1" si="8">INDIRECT($AB19&amp;"!"&amp;D$1&amp;"22")</f>
        <v>#REF!</v>
      </c>
      <c r="E19" s="175" t="e">
        <f t="shared" ca="1" si="8"/>
        <v>#REF!</v>
      </c>
      <c r="F19" s="175" t="e">
        <f t="shared" ca="1" si="8"/>
        <v>#REF!</v>
      </c>
      <c r="G19" s="175" t="e">
        <f t="shared" ca="1" si="8"/>
        <v>#REF!</v>
      </c>
      <c r="H19" s="175" t="e">
        <f t="shared" ca="1" si="8"/>
        <v>#REF!</v>
      </c>
      <c r="I19" s="175" t="e">
        <f t="shared" ca="1" si="8"/>
        <v>#REF!</v>
      </c>
      <c r="J19" s="175" t="e">
        <f t="shared" ca="1" si="8"/>
        <v>#REF!</v>
      </c>
      <c r="K19" s="175" t="e">
        <f t="shared" ca="1" si="8"/>
        <v>#REF!</v>
      </c>
      <c r="L19" s="175" t="e">
        <f t="shared" ca="1" si="8"/>
        <v>#REF!</v>
      </c>
      <c r="M19" s="175" t="e">
        <f t="shared" ca="1" si="8"/>
        <v>#REF!</v>
      </c>
      <c r="N19" s="175" t="e">
        <f t="shared" ca="1" si="8"/>
        <v>#REF!</v>
      </c>
      <c r="O19" s="175" t="e">
        <f t="shared" ca="1" si="8"/>
        <v>#REF!</v>
      </c>
      <c r="P19" s="175" t="e">
        <f t="shared" ca="1" si="8"/>
        <v>#REF!</v>
      </c>
      <c r="Q19" s="175" t="e">
        <f t="shared" ca="1" si="8"/>
        <v>#REF!</v>
      </c>
      <c r="R19" s="175" t="e">
        <f t="shared" ca="1" si="8"/>
        <v>#REF!</v>
      </c>
      <c r="S19" s="175" t="e">
        <f t="shared" ca="1" si="8"/>
        <v>#REF!</v>
      </c>
      <c r="T19" s="175" t="e">
        <f t="shared" ca="1" si="8"/>
        <v>#REF!</v>
      </c>
      <c r="U19" s="175" t="e">
        <f t="shared" ca="1" si="8"/>
        <v>#REF!</v>
      </c>
      <c r="V19" s="175" t="e">
        <f t="shared" ca="1" si="8"/>
        <v>#REF!</v>
      </c>
      <c r="W19" s="175" t="e">
        <f t="shared" ca="1" si="8"/>
        <v>#REF!</v>
      </c>
      <c r="X19" s="209" t="e">
        <f t="shared" ca="1" si="8"/>
        <v>#REF!</v>
      </c>
      <c r="Y19" s="282" t="e">
        <f t="shared" ca="1" si="7"/>
        <v>#REF!</v>
      </c>
      <c r="Z19" s="158" t="e">
        <f t="shared" ca="1" si="6"/>
        <v>#REF!</v>
      </c>
      <c r="AB19" s="278" t="e">
        <f t="shared" si="4"/>
        <v>#REF!</v>
      </c>
      <c r="AC19" s="165" t="e">
        <f>IF(AB19&lt;&gt;"",HLOOKUP(AB19,originaliteit!$B$1:$M$48,48,0),"")</f>
        <v>#REF!</v>
      </c>
    </row>
    <row r="20" spans="1:50" ht="12" customHeight="1">
      <c r="B20" s="167" t="s">
        <v>6</v>
      </c>
      <c r="AB20" s="167" t="s">
        <v>8</v>
      </c>
    </row>
    <row r="21" spans="1:50" s="159" customFormat="1" ht="12" customHeight="1" thickBot="1">
      <c r="C21" s="161" t="str">
        <f>C2</f>
        <v>P</v>
      </c>
      <c r="D21" s="161">
        <f t="shared" ref="D21" si="9">D2</f>
        <v>1</v>
      </c>
      <c r="E21" s="161">
        <f t="shared" ref="E21:X21" si="10">E2</f>
        <v>2</v>
      </c>
      <c r="F21" s="161">
        <f t="shared" si="10"/>
        <v>3</v>
      </c>
      <c r="G21" s="161">
        <f t="shared" si="10"/>
        <v>4</v>
      </c>
      <c r="H21" s="161">
        <f t="shared" si="10"/>
        <v>5</v>
      </c>
      <c r="I21" s="161">
        <f t="shared" si="10"/>
        <v>6</v>
      </c>
      <c r="J21" s="161">
        <f t="shared" si="10"/>
        <v>7</v>
      </c>
      <c r="K21" s="161">
        <f t="shared" si="10"/>
        <v>8</v>
      </c>
      <c r="L21" s="161">
        <f t="shared" si="10"/>
        <v>9</v>
      </c>
      <c r="M21" s="161">
        <f t="shared" si="10"/>
        <v>10</v>
      </c>
      <c r="N21" s="161">
        <f t="shared" si="10"/>
        <v>11</v>
      </c>
      <c r="O21" s="161">
        <f t="shared" si="10"/>
        <v>12</v>
      </c>
      <c r="P21" s="161">
        <f t="shared" si="10"/>
        <v>13</v>
      </c>
      <c r="Q21" s="161">
        <f t="shared" si="10"/>
        <v>14</v>
      </c>
      <c r="R21" s="161">
        <f t="shared" si="10"/>
        <v>15</v>
      </c>
      <c r="S21" s="161">
        <f t="shared" si="10"/>
        <v>16</v>
      </c>
      <c r="T21" s="161">
        <f t="shared" si="10"/>
        <v>17</v>
      </c>
      <c r="U21" s="161">
        <f t="shared" si="10"/>
        <v>18</v>
      </c>
      <c r="V21" s="161">
        <f t="shared" si="10"/>
        <v>19</v>
      </c>
      <c r="W21" s="161">
        <f t="shared" si="10"/>
        <v>20</v>
      </c>
      <c r="X21" s="207" t="str">
        <f t="shared" si="10"/>
        <v>B</v>
      </c>
      <c r="AC21" s="161" t="str">
        <f>C21</f>
        <v>P</v>
      </c>
      <c r="AD21" s="161">
        <f>D21</f>
        <v>1</v>
      </c>
      <c r="AE21" s="161">
        <f t="shared" ref="AE21:AX21" si="11">E21</f>
        <v>2</v>
      </c>
      <c r="AF21" s="161">
        <f t="shared" si="11"/>
        <v>3</v>
      </c>
      <c r="AG21" s="161">
        <f t="shared" si="11"/>
        <v>4</v>
      </c>
      <c r="AH21" s="161">
        <f t="shared" si="11"/>
        <v>5</v>
      </c>
      <c r="AI21" s="161">
        <f t="shared" si="11"/>
        <v>6</v>
      </c>
      <c r="AJ21" s="161">
        <f t="shared" si="11"/>
        <v>7</v>
      </c>
      <c r="AK21" s="161">
        <f t="shared" si="11"/>
        <v>8</v>
      </c>
      <c r="AL21" s="161">
        <f t="shared" si="11"/>
        <v>9</v>
      </c>
      <c r="AM21" s="161">
        <f t="shared" si="11"/>
        <v>10</v>
      </c>
      <c r="AN21" s="161">
        <f t="shared" si="11"/>
        <v>11</v>
      </c>
      <c r="AO21" s="161">
        <f t="shared" si="11"/>
        <v>12</v>
      </c>
      <c r="AP21" s="161">
        <f t="shared" si="11"/>
        <v>13</v>
      </c>
      <c r="AQ21" s="161">
        <f t="shared" si="11"/>
        <v>14</v>
      </c>
      <c r="AR21" s="161">
        <f t="shared" si="11"/>
        <v>15</v>
      </c>
      <c r="AS21" s="161">
        <f t="shared" si="11"/>
        <v>16</v>
      </c>
      <c r="AT21" s="161">
        <f t="shared" si="11"/>
        <v>17</v>
      </c>
      <c r="AU21" s="161">
        <f t="shared" si="11"/>
        <v>18</v>
      </c>
      <c r="AV21" s="161">
        <f t="shared" si="11"/>
        <v>19</v>
      </c>
      <c r="AW21" s="161">
        <f t="shared" si="11"/>
        <v>20</v>
      </c>
      <c r="AX21" s="161" t="str">
        <f t="shared" si="11"/>
        <v>B</v>
      </c>
    </row>
    <row r="22" spans="1:50" ht="12" customHeight="1">
      <c r="A22" s="162"/>
      <c r="B22" s="168" t="str">
        <f ca="1">B3</f>
        <v>Am Selfkant</v>
      </c>
      <c r="C22" s="175">
        <f t="shared" ref="C22:C32" ca="1" si="12">C3+RAND()/10</f>
        <v>137.04969792168581</v>
      </c>
      <c r="D22" s="175">
        <f t="shared" ref="D22:D32" ca="1" si="13">IF(D3=0,,D3+C22)</f>
        <v>313.04969792168583</v>
      </c>
      <c r="E22" s="175">
        <f t="shared" ref="E22:E32" ca="1" si="14">IF(E3=0,,E3+D22)</f>
        <v>505.04969792168583</v>
      </c>
      <c r="F22" s="175">
        <f t="shared" ref="F22:F32" ca="1" si="15">IF(F3=0,,F3+E22)</f>
        <v>671.04969792168583</v>
      </c>
      <c r="G22" s="175">
        <f t="shared" ref="G22:G32" ca="1" si="16">IF(G3=0,,G3+F22)</f>
        <v>814.04969792168583</v>
      </c>
      <c r="H22" s="175">
        <f t="shared" ref="H22:H32" ca="1" si="17">IF(H3=0,,H3+G22)</f>
        <v>962.04969792168583</v>
      </c>
      <c r="I22" s="175">
        <f t="shared" ref="I22:I32" ca="1" si="18">IF(I3=0,,I3+H22)</f>
        <v>1126.0496979216859</v>
      </c>
      <c r="J22" s="175">
        <f t="shared" ref="J22:J32" ca="1" si="19">IF(J3=0,,J3+I22)</f>
        <v>1321.0496979216859</v>
      </c>
      <c r="K22" s="175">
        <f t="shared" ref="K22:K32" ca="1" si="20">IF(K3=0,,K3+J22)</f>
        <v>1516.0496979216859</v>
      </c>
      <c r="L22" s="175">
        <f t="shared" ref="L22:L32" ca="1" si="21">IF(L3=0,,L3+K22)</f>
        <v>1684.0496979216859</v>
      </c>
      <c r="M22" s="175">
        <f t="shared" ref="M22:M32" ca="1" si="22">IF(M3=0,,M3+L22)</f>
        <v>1816.0496979216859</v>
      </c>
      <c r="N22" s="175">
        <f t="shared" ref="N22:N32" ca="1" si="23">IF(N3=0,,N3+M22)</f>
        <v>1999.0496979216859</v>
      </c>
      <c r="O22" s="175">
        <f t="shared" ref="O22:O32" ca="1" si="24">IF(O3=0,,O3+N22)</f>
        <v>2138.0496979216859</v>
      </c>
      <c r="P22" s="175">
        <f t="shared" ref="P22:P32" ca="1" si="25">IF(P3=0,,P3+O22)</f>
        <v>2347.0496979216859</v>
      </c>
      <c r="Q22" s="175">
        <f t="shared" ref="Q22:Q32" ca="1" si="26">IF(Q3=0,,Q3+P22)</f>
        <v>2483.0496979216859</v>
      </c>
      <c r="R22" s="175">
        <f t="shared" ref="R22:R32" ca="1" si="27">IF(R3=0,,R3+Q22)</f>
        <v>2589.0496979216859</v>
      </c>
      <c r="S22" s="175">
        <f t="shared" ref="S22:S32" ca="1" si="28">IF(S3=0,,S3+R22)</f>
        <v>2676.0496979216859</v>
      </c>
      <c r="T22" s="175">
        <f t="shared" ref="T22:T32" ca="1" si="29">IF(T3=0,,T3+S22)</f>
        <v>2832.0496979216859</v>
      </c>
      <c r="U22" s="175">
        <f t="shared" ref="U22:U32" ca="1" si="30">IF(U3=0,,U3+T22)</f>
        <v>3028.0496979216859</v>
      </c>
      <c r="V22" s="175">
        <f t="shared" ref="V22:V32" ca="1" si="31">IF(V3=0,,V3+U22)</f>
        <v>3122.0496979216859</v>
      </c>
      <c r="W22" s="175">
        <f t="shared" ref="W22:W32" ca="1" si="32">IF(W3=0,,W3+V22)</f>
        <v>3312.0496979216859</v>
      </c>
      <c r="X22" s="175">
        <f t="shared" ref="X22:X32" ca="1" si="33">IF(X3=0,,X3+W22)</f>
        <v>3607.0496979216859</v>
      </c>
      <c r="Z22" s="159"/>
      <c r="AB22" s="169" t="str">
        <f t="shared" ref="AB22:AB32" ca="1" si="34">B22</f>
        <v>Am Selfkant</v>
      </c>
      <c r="AC22" s="170">
        <f t="shared" ref="AC22:AC30" ca="1" si="35">C22-AC$33</f>
        <v>1.0367306634902036</v>
      </c>
      <c r="AD22" s="170">
        <f ca="1">IF(D22&gt;0,D22-AD$33,"")</f>
        <v>-8.781451154691581</v>
      </c>
      <c r="AE22" s="170">
        <f t="shared" ref="AE22:AX32" ca="1" si="36">IF(E22&gt;0,E22-AE$33,"")</f>
        <v>26.854912481672045</v>
      </c>
      <c r="AF22" s="170">
        <f t="shared" ca="1" si="36"/>
        <v>14.400367027126549</v>
      </c>
      <c r="AG22" s="170">
        <f t="shared" ca="1" si="36"/>
        <v>36.036730663490175</v>
      </c>
      <c r="AH22" s="170">
        <f t="shared" ca="1" si="36"/>
        <v>57.309457936217541</v>
      </c>
      <c r="AI22" s="170">
        <f t="shared" ca="1" si="36"/>
        <v>85.673094299853801</v>
      </c>
      <c r="AJ22" s="170">
        <f t="shared" ca="1" si="36"/>
        <v>116.30945793621777</v>
      </c>
      <c r="AK22" s="170">
        <f t="shared" ca="1" si="36"/>
        <v>164.30945793621777</v>
      </c>
      <c r="AL22" s="170">
        <f t="shared" ca="1" si="36"/>
        <v>180.21854884530853</v>
      </c>
      <c r="AM22" s="170">
        <f t="shared" ca="1" si="36"/>
        <v>202.8549124816725</v>
      </c>
      <c r="AN22" s="170">
        <f t="shared" ca="1" si="36"/>
        <v>249.94582157258105</v>
      </c>
      <c r="AO22" s="170">
        <f t="shared" ca="1" si="36"/>
        <v>275.30945793621754</v>
      </c>
      <c r="AP22" s="170">
        <f t="shared" ca="1" si="36"/>
        <v>317.40036702712655</v>
      </c>
      <c r="AQ22" s="170">
        <f t="shared" ca="1" si="36"/>
        <v>351.03673066349029</v>
      </c>
      <c r="AR22" s="170">
        <f t="shared" ca="1" si="36"/>
        <v>367.67309429985335</v>
      </c>
      <c r="AS22" s="170">
        <f t="shared" ca="1" si="36"/>
        <v>363.21854884530831</v>
      </c>
      <c r="AT22" s="170">
        <f t="shared" ca="1" si="36"/>
        <v>379.67309429985335</v>
      </c>
      <c r="AU22" s="170">
        <f t="shared" ca="1" si="36"/>
        <v>423.03673066348983</v>
      </c>
      <c r="AV22" s="170">
        <f t="shared" ca="1" si="36"/>
        <v>426.30945793621731</v>
      </c>
      <c r="AW22" s="170">
        <f t="shared" ca="1" si="36"/>
        <v>464.40036702712632</v>
      </c>
      <c r="AX22" s="170">
        <f t="shared" ca="1" si="36"/>
        <v>525.40036702712678</v>
      </c>
    </row>
    <row r="23" spans="1:50" ht="12" customHeight="1">
      <c r="A23" s="162"/>
      <c r="B23" s="168" t="str">
        <f t="shared" ref="B23:B32" ca="1" si="37">B4</f>
        <v>City United</v>
      </c>
      <c r="C23" s="175">
        <f t="shared" ca="1" si="12"/>
        <v>158.1183266074392</v>
      </c>
      <c r="D23" s="175">
        <f t="shared" ca="1" si="13"/>
        <v>374.1183266074392</v>
      </c>
      <c r="E23" s="175">
        <f t="shared" ca="1" si="14"/>
        <v>556.11832660743926</v>
      </c>
      <c r="F23" s="290">
        <f t="shared" ca="1" si="15"/>
        <v>780.11832660743926</v>
      </c>
      <c r="G23" s="290">
        <f t="shared" ca="1" si="16"/>
        <v>930.11832660743926</v>
      </c>
      <c r="H23" s="175">
        <f t="shared" ca="1" si="17"/>
        <v>1085.1183266074393</v>
      </c>
      <c r="I23" s="175">
        <f t="shared" ca="1" si="18"/>
        <v>1253.1183266074393</v>
      </c>
      <c r="J23" s="175">
        <f t="shared" ca="1" si="19"/>
        <v>1412.1183266074393</v>
      </c>
      <c r="K23" s="175">
        <f t="shared" ca="1" si="20"/>
        <v>1572.1183266074393</v>
      </c>
      <c r="L23" s="175">
        <f t="shared" ca="1" si="21"/>
        <v>1731.1183266074393</v>
      </c>
      <c r="M23" s="175">
        <f t="shared" ca="1" si="22"/>
        <v>1829.1183266074393</v>
      </c>
      <c r="N23" s="175">
        <f t="shared" ca="1" si="23"/>
        <v>1971.1183266074393</v>
      </c>
      <c r="O23" s="175">
        <f t="shared" ca="1" si="24"/>
        <v>2104.1183266074395</v>
      </c>
      <c r="P23" s="175">
        <f t="shared" ca="1" si="25"/>
        <v>2289.1183266074395</v>
      </c>
      <c r="Q23" s="175">
        <f t="shared" ca="1" si="26"/>
        <v>2395.1183266074395</v>
      </c>
      <c r="R23" s="175">
        <f t="shared" ca="1" si="27"/>
        <v>2495.1183266074395</v>
      </c>
      <c r="S23" s="175">
        <f t="shared" ca="1" si="28"/>
        <v>2618.1183266074395</v>
      </c>
      <c r="T23" s="175">
        <f t="shared" ca="1" si="29"/>
        <v>2736.1183266074395</v>
      </c>
      <c r="U23" s="175">
        <f t="shared" ca="1" si="30"/>
        <v>2927.1183266074395</v>
      </c>
      <c r="V23" s="175">
        <f t="shared" ca="1" si="31"/>
        <v>3016.1183266074395</v>
      </c>
      <c r="W23" s="175">
        <f t="shared" ca="1" si="32"/>
        <v>3201.1183266074395</v>
      </c>
      <c r="X23" s="175">
        <f t="shared" ca="1" si="33"/>
        <v>3435.1183266074395</v>
      </c>
      <c r="Z23" s="159"/>
      <c r="AB23" s="169" t="str">
        <f ca="1">B23</f>
        <v>City United</v>
      </c>
      <c r="AC23" s="170">
        <f t="shared" ca="1" si="35"/>
        <v>22.105359349243599</v>
      </c>
      <c r="AD23" s="170">
        <f t="shared" ref="AD23:AD32" ca="1" si="38">IF(D23&gt;0,D23-AD$33,"")</f>
        <v>52.287177531061786</v>
      </c>
      <c r="AE23" s="170">
        <f t="shared" ca="1" si="36"/>
        <v>77.923541167425469</v>
      </c>
      <c r="AF23" s="170">
        <f t="shared" ca="1" si="36"/>
        <v>123.46899571287997</v>
      </c>
      <c r="AG23" s="170">
        <f t="shared" ca="1" si="36"/>
        <v>152.1053593492436</v>
      </c>
      <c r="AH23" s="170">
        <f t="shared" ca="1" si="36"/>
        <v>180.37808662197097</v>
      </c>
      <c r="AI23" s="170">
        <f t="shared" ca="1" si="36"/>
        <v>212.74172298560711</v>
      </c>
      <c r="AJ23" s="170">
        <f t="shared" ca="1" si="36"/>
        <v>207.37808662197108</v>
      </c>
      <c r="AK23" s="170">
        <f t="shared" ca="1" si="36"/>
        <v>220.37808662197108</v>
      </c>
      <c r="AL23" s="170">
        <f t="shared" ca="1" si="36"/>
        <v>227.28717753106184</v>
      </c>
      <c r="AM23" s="170">
        <f t="shared" ca="1" si="36"/>
        <v>215.92354116742581</v>
      </c>
      <c r="AN23" s="170">
        <f t="shared" ca="1" si="36"/>
        <v>222.01445025833436</v>
      </c>
      <c r="AO23" s="170">
        <f t="shared" ca="1" si="36"/>
        <v>241.37808662197108</v>
      </c>
      <c r="AP23" s="170">
        <f t="shared" ca="1" si="36"/>
        <v>259.46899571288009</v>
      </c>
      <c r="AQ23" s="170">
        <f t="shared" ca="1" si="36"/>
        <v>263.10535934924383</v>
      </c>
      <c r="AR23" s="170">
        <f t="shared" ca="1" si="36"/>
        <v>273.74172298560688</v>
      </c>
      <c r="AS23" s="170">
        <f t="shared" ca="1" si="36"/>
        <v>305.28717753106184</v>
      </c>
      <c r="AT23" s="170">
        <f t="shared" ca="1" si="36"/>
        <v>283.74172298560688</v>
      </c>
      <c r="AU23" s="170">
        <f t="shared" ca="1" si="36"/>
        <v>322.10535934924337</v>
      </c>
      <c r="AV23" s="170">
        <f t="shared" ca="1" si="36"/>
        <v>320.37808662197085</v>
      </c>
      <c r="AW23" s="170">
        <f t="shared" ca="1" si="36"/>
        <v>353.46899571287986</v>
      </c>
      <c r="AX23" s="170">
        <f t="shared" ca="1" si="36"/>
        <v>353.46899571288031</v>
      </c>
    </row>
    <row r="24" spans="1:50" ht="12" customHeight="1">
      <c r="A24" s="162"/>
      <c r="B24" s="168" t="str">
        <f t="shared" ca="1" si="37"/>
        <v>De Lange Man</v>
      </c>
      <c r="C24" s="175">
        <f t="shared" ca="1" si="12"/>
        <v>147.16189612128841</v>
      </c>
      <c r="D24" s="175">
        <f t="shared" ca="1" si="13"/>
        <v>326.16189612128841</v>
      </c>
      <c r="E24" s="175">
        <f t="shared" ca="1" si="14"/>
        <v>494.16189612128841</v>
      </c>
      <c r="F24" s="175">
        <f t="shared" ca="1" si="15"/>
        <v>692.16189612128846</v>
      </c>
      <c r="G24" s="175">
        <f t="shared" ca="1" si="16"/>
        <v>812.16189612128846</v>
      </c>
      <c r="H24" s="175">
        <f t="shared" ca="1" si="17"/>
        <v>931.16189612128846</v>
      </c>
      <c r="I24" s="175">
        <f t="shared" ca="1" si="18"/>
        <v>1069.1618961212885</v>
      </c>
      <c r="J24" s="175">
        <f t="shared" ca="1" si="19"/>
        <v>1224.1618961212885</v>
      </c>
      <c r="K24" s="175">
        <f t="shared" ca="1" si="20"/>
        <v>1380.1618961212885</v>
      </c>
      <c r="L24" s="175">
        <f t="shared" ca="1" si="21"/>
        <v>1535.1618961212885</v>
      </c>
      <c r="M24" s="175">
        <f t="shared" ca="1" si="22"/>
        <v>1669.1618961212885</v>
      </c>
      <c r="N24" s="175">
        <f t="shared" ca="1" si="23"/>
        <v>1807.1618961212885</v>
      </c>
      <c r="O24" s="175">
        <f t="shared" ca="1" si="24"/>
        <v>1917.1618961212885</v>
      </c>
      <c r="P24" s="175">
        <f t="shared" ca="1" si="25"/>
        <v>2099.1618961212885</v>
      </c>
      <c r="Q24" s="175">
        <f t="shared" ca="1" si="26"/>
        <v>2204.1618961212885</v>
      </c>
      <c r="R24" s="175">
        <f t="shared" ca="1" si="27"/>
        <v>2328.1618961212885</v>
      </c>
      <c r="S24" s="175">
        <f t="shared" ca="1" si="28"/>
        <v>2448.1618961212885</v>
      </c>
      <c r="T24" s="175">
        <f t="shared" ca="1" si="29"/>
        <v>2568.1618961212885</v>
      </c>
      <c r="U24" s="175">
        <f t="shared" ca="1" si="30"/>
        <v>2731.1618961212885</v>
      </c>
      <c r="V24" s="175">
        <f t="shared" ca="1" si="31"/>
        <v>2822.1618961212885</v>
      </c>
      <c r="W24" s="175">
        <f t="shared" ca="1" si="32"/>
        <v>2983.1618961212885</v>
      </c>
      <c r="X24" s="175">
        <f t="shared" ca="1" si="33"/>
        <v>3222.1618961212885</v>
      </c>
      <c r="Z24" s="159"/>
      <c r="AB24" s="169" t="str">
        <f t="shared" ca="1" si="34"/>
        <v>De Lange Man</v>
      </c>
      <c r="AC24" s="170">
        <f t="shared" ca="1" si="35"/>
        <v>11.148928863092806</v>
      </c>
      <c r="AD24" s="170">
        <f t="shared" ca="1" si="38"/>
        <v>4.3307470449109928</v>
      </c>
      <c r="AE24" s="170">
        <f t="shared" ca="1" si="36"/>
        <v>15.967110681274619</v>
      </c>
      <c r="AF24" s="170">
        <f t="shared" ca="1" si="36"/>
        <v>35.51256522672918</v>
      </c>
      <c r="AG24" s="170">
        <f t="shared" ca="1" si="36"/>
        <v>34.148928863092806</v>
      </c>
      <c r="AH24" s="170">
        <f t="shared" ca="1" si="36"/>
        <v>26.421656135820172</v>
      </c>
      <c r="AI24" s="170">
        <f t="shared" ca="1" si="36"/>
        <v>28.785292499456318</v>
      </c>
      <c r="AJ24" s="170">
        <f t="shared" ca="1" si="36"/>
        <v>19.421656135820285</v>
      </c>
      <c r="AK24" s="170">
        <f t="shared" ca="1" si="36"/>
        <v>28.421656135820285</v>
      </c>
      <c r="AL24" s="170">
        <f t="shared" ca="1" si="36"/>
        <v>31.33074704491105</v>
      </c>
      <c r="AM24" s="170">
        <f t="shared" ca="1" si="36"/>
        <v>55.967110681275017</v>
      </c>
      <c r="AN24" s="170">
        <f t="shared" ca="1" si="36"/>
        <v>58.05801977218357</v>
      </c>
      <c r="AO24" s="170">
        <f t="shared" ca="1" si="36"/>
        <v>54.421656135820058</v>
      </c>
      <c r="AP24" s="170">
        <f t="shared" ca="1" si="36"/>
        <v>69.512565226729066</v>
      </c>
      <c r="AQ24" s="170">
        <f t="shared" ca="1" si="36"/>
        <v>72.148928863092806</v>
      </c>
      <c r="AR24" s="170">
        <f t="shared" ca="1" si="36"/>
        <v>106.78529249945586</v>
      </c>
      <c r="AS24" s="170">
        <f t="shared" ca="1" si="36"/>
        <v>135.33074704491082</v>
      </c>
      <c r="AT24" s="170">
        <f t="shared" ca="1" si="36"/>
        <v>115.78529249945586</v>
      </c>
      <c r="AU24" s="170">
        <f t="shared" ca="1" si="36"/>
        <v>126.14892886309235</v>
      </c>
      <c r="AV24" s="170">
        <f t="shared" ca="1" si="36"/>
        <v>126.42165613581983</v>
      </c>
      <c r="AW24" s="170">
        <f t="shared" ca="1" si="36"/>
        <v>135.51256522672884</v>
      </c>
      <c r="AX24" s="170">
        <f t="shared" ca="1" si="36"/>
        <v>140.51256522672929</v>
      </c>
    </row>
    <row r="25" spans="1:50" ht="12" customHeight="1">
      <c r="A25" s="162"/>
      <c r="B25" s="168" t="str">
        <f t="shared" ca="1" si="37"/>
        <v>Ode Kolonne</v>
      </c>
      <c r="C25" s="175">
        <f t="shared" ca="1" si="12"/>
        <v>165.17612174767424</v>
      </c>
      <c r="D25" s="175">
        <f t="shared" ca="1" si="13"/>
        <v>379.17612174767424</v>
      </c>
      <c r="E25" s="290">
        <f t="shared" ca="1" si="14"/>
        <v>578.17612174767419</v>
      </c>
      <c r="F25" s="175">
        <f t="shared" ca="1" si="15"/>
        <v>775.17612174767419</v>
      </c>
      <c r="G25" s="175">
        <f t="shared" ca="1" si="16"/>
        <v>922.17612174767419</v>
      </c>
      <c r="H25" s="175">
        <f t="shared" ca="1" si="17"/>
        <v>1074.1761217476742</v>
      </c>
      <c r="I25" s="175">
        <f t="shared" ca="1" si="18"/>
        <v>1228.1761217476742</v>
      </c>
      <c r="J25" s="175">
        <f t="shared" ca="1" si="19"/>
        <v>1354.1761217476742</v>
      </c>
      <c r="K25" s="175">
        <f t="shared" ca="1" si="20"/>
        <v>1484.1761217476742</v>
      </c>
      <c r="L25" s="175">
        <f t="shared" ca="1" si="21"/>
        <v>1618.1761217476742</v>
      </c>
      <c r="M25" s="175">
        <f t="shared" ca="1" si="22"/>
        <v>1698.1761217476742</v>
      </c>
      <c r="N25" s="175">
        <f t="shared" ca="1" si="23"/>
        <v>1810.1761217476742</v>
      </c>
      <c r="O25" s="175">
        <f t="shared" ca="1" si="24"/>
        <v>1926.1761217476742</v>
      </c>
      <c r="P25" s="175">
        <f t="shared" ca="1" si="25"/>
        <v>2106.1761217476742</v>
      </c>
      <c r="Q25" s="175">
        <f t="shared" ca="1" si="26"/>
        <v>2219.1761217476742</v>
      </c>
      <c r="R25" s="175">
        <f t="shared" ca="1" si="27"/>
        <v>2311.1761217476742</v>
      </c>
      <c r="S25" s="175">
        <f t="shared" ca="1" si="28"/>
        <v>2371.1761217476742</v>
      </c>
      <c r="T25" s="175">
        <f t="shared" ca="1" si="29"/>
        <v>2462.1761217476742</v>
      </c>
      <c r="U25" s="175">
        <f t="shared" ca="1" si="30"/>
        <v>2645.1761217476742</v>
      </c>
      <c r="V25" s="175">
        <f t="shared" ca="1" si="31"/>
        <v>2716.1761217476742</v>
      </c>
      <c r="W25" s="175">
        <f t="shared" ca="1" si="32"/>
        <v>2893.1761217476742</v>
      </c>
      <c r="X25" s="175">
        <f t="shared" ca="1" si="33"/>
        <v>3075.1761217476742</v>
      </c>
      <c r="Z25" s="159"/>
      <c r="AB25" s="169" t="str">
        <f t="shared" ca="1" si="34"/>
        <v>Ode Kolonne</v>
      </c>
      <c r="AC25" s="170">
        <f t="shared" ca="1" si="35"/>
        <v>29.163154489478643</v>
      </c>
      <c r="AD25" s="170">
        <f t="shared" ca="1" si="38"/>
        <v>57.34497267129683</v>
      </c>
      <c r="AE25" s="170">
        <f t="shared" ca="1" si="36"/>
        <v>99.981336307660399</v>
      </c>
      <c r="AF25" s="170">
        <f t="shared" ca="1" si="36"/>
        <v>118.5267908531149</v>
      </c>
      <c r="AG25" s="170">
        <f t="shared" ca="1" si="36"/>
        <v>144.16315448947853</v>
      </c>
      <c r="AH25" s="170">
        <f t="shared" ca="1" si="36"/>
        <v>169.4358817622059</v>
      </c>
      <c r="AI25" s="170">
        <f t="shared" ca="1" si="36"/>
        <v>187.79951812584204</v>
      </c>
      <c r="AJ25" s="170">
        <f t="shared" ca="1" si="36"/>
        <v>149.43588176220601</v>
      </c>
      <c r="AK25" s="170">
        <f t="shared" ca="1" si="36"/>
        <v>132.43588176220601</v>
      </c>
      <c r="AL25" s="170">
        <f t="shared" ca="1" si="36"/>
        <v>114.34497267129677</v>
      </c>
      <c r="AM25" s="170">
        <f t="shared" ca="1" si="36"/>
        <v>84.98133630766074</v>
      </c>
      <c r="AN25" s="170">
        <f t="shared" ca="1" si="36"/>
        <v>61.072245398569294</v>
      </c>
      <c r="AO25" s="170">
        <f t="shared" ca="1" si="36"/>
        <v>63.435881762205781</v>
      </c>
      <c r="AP25" s="170">
        <f t="shared" ca="1" si="36"/>
        <v>76.52679085311479</v>
      </c>
      <c r="AQ25" s="170">
        <f t="shared" ca="1" si="36"/>
        <v>87.163154489478529</v>
      </c>
      <c r="AR25" s="170">
        <f t="shared" ca="1" si="36"/>
        <v>89.799518125841587</v>
      </c>
      <c r="AS25" s="170">
        <f t="shared" ca="1" si="36"/>
        <v>58.344972671296546</v>
      </c>
      <c r="AT25" s="170">
        <f t="shared" ca="1" si="36"/>
        <v>9.7995181258415869</v>
      </c>
      <c r="AU25" s="170">
        <f t="shared" ca="1" si="36"/>
        <v>40.163154489478075</v>
      </c>
      <c r="AV25" s="170">
        <f t="shared" ca="1" si="36"/>
        <v>20.435881762205554</v>
      </c>
      <c r="AW25" s="170">
        <f t="shared" ca="1" si="36"/>
        <v>45.526790853114562</v>
      </c>
      <c r="AX25" s="170">
        <f t="shared" ca="1" si="36"/>
        <v>-6.4732091468849831</v>
      </c>
    </row>
    <row r="26" spans="1:50" ht="12" customHeight="1">
      <c r="A26" s="162"/>
      <c r="B26" s="168" t="str">
        <f t="shared" ca="1" si="37"/>
        <v>Special Victims Unit</v>
      </c>
      <c r="C26" s="175">
        <f t="shared" ca="1" si="12"/>
        <v>162.1504106468353</v>
      </c>
      <c r="D26" s="175">
        <f t="shared" ca="1" si="13"/>
        <v>380.15041064683533</v>
      </c>
      <c r="E26" s="175">
        <f t="shared" ca="1" si="14"/>
        <v>570.15041064683533</v>
      </c>
      <c r="F26" s="175">
        <f t="shared" ca="1" si="15"/>
        <v>771.15041064683533</v>
      </c>
      <c r="G26" s="175">
        <f t="shared" ca="1" si="16"/>
        <v>919.15041064683533</v>
      </c>
      <c r="H26" s="290">
        <f t="shared" ca="1" si="17"/>
        <v>1091.1504106468353</v>
      </c>
      <c r="I26" s="290">
        <f t="shared" ca="1" si="18"/>
        <v>1259.1504106468353</v>
      </c>
      <c r="J26" s="290">
        <f t="shared" ca="1" si="19"/>
        <v>1446.1504106468353</v>
      </c>
      <c r="K26" s="290">
        <f t="shared" ca="1" si="20"/>
        <v>1618.1504106468353</v>
      </c>
      <c r="L26" s="290">
        <f t="shared" ca="1" si="21"/>
        <v>1819.1504106468353</v>
      </c>
      <c r="M26" s="290">
        <f t="shared" ca="1" si="22"/>
        <v>1944.1504106468353</v>
      </c>
      <c r="N26" s="290">
        <f t="shared" ca="1" si="23"/>
        <v>2106.1504106468356</v>
      </c>
      <c r="O26" s="290">
        <f t="shared" ca="1" si="24"/>
        <v>2259.1504106468356</v>
      </c>
      <c r="P26" s="290">
        <f t="shared" ca="1" si="25"/>
        <v>2464.1504106468356</v>
      </c>
      <c r="Q26" s="290">
        <f t="shared" ca="1" si="26"/>
        <v>2585.1504106468356</v>
      </c>
      <c r="R26" s="175">
        <f t="shared" ca="1" si="27"/>
        <v>2676.1504106468356</v>
      </c>
      <c r="S26" s="175">
        <f t="shared" ca="1" si="28"/>
        <v>2789.1504106468356</v>
      </c>
      <c r="T26" s="175">
        <f t="shared" ca="1" si="29"/>
        <v>2982.1504106468356</v>
      </c>
      <c r="U26" s="175">
        <f t="shared" ca="1" si="30"/>
        <v>3163.1504106468356</v>
      </c>
      <c r="V26" s="175">
        <f t="shared" ca="1" si="31"/>
        <v>3292.1504106468356</v>
      </c>
      <c r="W26" s="175">
        <f t="shared" ca="1" si="32"/>
        <v>3472.1504106468356</v>
      </c>
      <c r="X26" s="175">
        <f t="shared" ca="1" si="33"/>
        <v>3779.1504106468356</v>
      </c>
      <c r="Z26" s="159"/>
      <c r="AB26" s="169" t="str">
        <f t="shared" ca="1" si="34"/>
        <v>Special Victims Unit</v>
      </c>
      <c r="AC26" s="170">
        <f t="shared" ca="1" si="35"/>
        <v>26.137443388639696</v>
      </c>
      <c r="AD26" s="170">
        <f t="shared" ca="1" si="38"/>
        <v>58.319261570457911</v>
      </c>
      <c r="AE26" s="170">
        <f t="shared" ca="1" si="36"/>
        <v>91.955625206821537</v>
      </c>
      <c r="AF26" s="170">
        <f t="shared" ca="1" si="36"/>
        <v>114.50107975227604</v>
      </c>
      <c r="AG26" s="170">
        <f t="shared" ca="1" si="36"/>
        <v>141.13744338863967</v>
      </c>
      <c r="AH26" s="170">
        <f t="shared" ca="1" si="36"/>
        <v>186.41017066136703</v>
      </c>
      <c r="AI26" s="170">
        <f t="shared" ca="1" si="36"/>
        <v>218.77380702500318</v>
      </c>
      <c r="AJ26" s="170">
        <f t="shared" ca="1" si="36"/>
        <v>241.41017066136715</v>
      </c>
      <c r="AK26" s="170">
        <f t="shared" ca="1" si="36"/>
        <v>266.41017066136715</v>
      </c>
      <c r="AL26" s="170">
        <f t="shared" ca="1" si="36"/>
        <v>315.31926157045791</v>
      </c>
      <c r="AM26" s="170">
        <f t="shared" ca="1" si="36"/>
        <v>330.95562520682188</v>
      </c>
      <c r="AN26" s="170">
        <f t="shared" ca="1" si="36"/>
        <v>357.04653429773066</v>
      </c>
      <c r="AO26" s="170">
        <f t="shared" ca="1" si="36"/>
        <v>396.41017066136715</v>
      </c>
      <c r="AP26" s="170">
        <f t="shared" ca="1" si="36"/>
        <v>434.50107975227615</v>
      </c>
      <c r="AQ26" s="170">
        <f t="shared" ca="1" si="36"/>
        <v>453.13744338863989</v>
      </c>
      <c r="AR26" s="170">
        <f t="shared" ca="1" si="36"/>
        <v>454.77380702500295</v>
      </c>
      <c r="AS26" s="170">
        <f t="shared" ca="1" si="36"/>
        <v>476.31926157045791</v>
      </c>
      <c r="AT26" s="170">
        <f t="shared" ca="1" si="36"/>
        <v>529.77380702500295</v>
      </c>
      <c r="AU26" s="170">
        <f t="shared" ca="1" si="36"/>
        <v>558.13744338863944</v>
      </c>
      <c r="AV26" s="170">
        <f t="shared" ca="1" si="36"/>
        <v>596.41017066136692</v>
      </c>
      <c r="AW26" s="170">
        <f t="shared" ca="1" si="36"/>
        <v>624.50107975227593</v>
      </c>
      <c r="AX26" s="170">
        <f t="shared" ca="1" si="36"/>
        <v>697.50107975227638</v>
      </c>
    </row>
    <row r="27" spans="1:50" ht="12" customHeight="1">
      <c r="A27" s="162"/>
      <c r="B27" s="168" t="str">
        <f t="shared" ca="1" si="37"/>
        <v>IJffjes Boys</v>
      </c>
      <c r="C27" s="290">
        <f t="shared" ca="1" si="12"/>
        <v>175.06459394392778</v>
      </c>
      <c r="D27" s="290">
        <f t="shared" ca="1" si="13"/>
        <v>403.06459394392778</v>
      </c>
      <c r="E27" s="175">
        <f t="shared" ca="1" si="14"/>
        <v>532.06459394392778</v>
      </c>
      <c r="F27" s="175">
        <f t="shared" ca="1" si="15"/>
        <v>716.06459394392778</v>
      </c>
      <c r="G27" s="175">
        <f t="shared" ca="1" si="16"/>
        <v>800.06459394392778</v>
      </c>
      <c r="H27" s="175">
        <f t="shared" ca="1" si="17"/>
        <v>883.06459394392778</v>
      </c>
      <c r="I27" s="175">
        <f t="shared" ca="1" si="18"/>
        <v>980.06459394392778</v>
      </c>
      <c r="J27" s="175">
        <f t="shared" ca="1" si="19"/>
        <v>1141.0645939439278</v>
      </c>
      <c r="K27" s="175">
        <f t="shared" ca="1" si="20"/>
        <v>1299.0645939439278</v>
      </c>
      <c r="L27" s="175">
        <f t="shared" ca="1" si="21"/>
        <v>1444.0645939439278</v>
      </c>
      <c r="M27" s="175">
        <f t="shared" ca="1" si="22"/>
        <v>1600.0645939439278</v>
      </c>
      <c r="N27" s="175">
        <f t="shared" ca="1" si="23"/>
        <v>1746.0645939439278</v>
      </c>
      <c r="O27" s="175">
        <f t="shared" ca="1" si="24"/>
        <v>1842.0645939439278</v>
      </c>
      <c r="P27" s="175">
        <f t="shared" ca="1" si="25"/>
        <v>1986.0645939439278</v>
      </c>
      <c r="Q27" s="175">
        <f t="shared" ca="1" si="26"/>
        <v>2100.0645939439278</v>
      </c>
      <c r="R27" s="175">
        <f t="shared" ca="1" si="27"/>
        <v>2181.0645939439278</v>
      </c>
      <c r="S27" s="175">
        <f t="shared" ca="1" si="28"/>
        <v>2286.0645939439278</v>
      </c>
      <c r="T27" s="175">
        <f t="shared" ca="1" si="29"/>
        <v>2449.0645939439278</v>
      </c>
      <c r="U27" s="175">
        <f t="shared" ca="1" si="30"/>
        <v>2571.0645939439278</v>
      </c>
      <c r="V27" s="175">
        <f t="shared" ca="1" si="31"/>
        <v>2646.0645939439278</v>
      </c>
      <c r="W27" s="175">
        <f t="shared" ca="1" si="32"/>
        <v>2797.0645939439278</v>
      </c>
      <c r="X27" s="175">
        <f t="shared" ca="1" si="33"/>
        <v>3051.0645939439278</v>
      </c>
      <c r="Z27" s="159"/>
      <c r="AB27" s="169" t="str">
        <f t="shared" ca="1" si="34"/>
        <v>IJffjes Boys</v>
      </c>
      <c r="AC27" s="170">
        <f t="shared" ca="1" si="35"/>
        <v>39.051626685732174</v>
      </c>
      <c r="AD27" s="170">
        <f t="shared" ca="1" si="38"/>
        <v>81.233444867550361</v>
      </c>
      <c r="AE27" s="170">
        <f t="shared" ca="1" si="36"/>
        <v>53.869808503913987</v>
      </c>
      <c r="AF27" s="170">
        <f t="shared" ca="1" si="36"/>
        <v>59.415263049368491</v>
      </c>
      <c r="AG27" s="170">
        <f t="shared" ca="1" si="36"/>
        <v>22.051626685732117</v>
      </c>
      <c r="AH27" s="170">
        <f t="shared" ca="1" si="36"/>
        <v>-21.675646041540517</v>
      </c>
      <c r="AI27" s="170">
        <f t="shared" ca="1" si="36"/>
        <v>-60.312009677904371</v>
      </c>
      <c r="AJ27" s="170">
        <f t="shared" ca="1" si="36"/>
        <v>-63.675646041540404</v>
      </c>
      <c r="AK27" s="170">
        <f t="shared" ca="1" si="36"/>
        <v>-52.675646041540404</v>
      </c>
      <c r="AL27" s="170">
        <f t="shared" ca="1" si="36"/>
        <v>-59.766555132449639</v>
      </c>
      <c r="AM27" s="170">
        <f t="shared" ca="1" si="36"/>
        <v>-13.130191496085672</v>
      </c>
      <c r="AN27" s="170">
        <f t="shared" ca="1" si="36"/>
        <v>-3.0392824051771186</v>
      </c>
      <c r="AO27" s="170">
        <f t="shared" ca="1" si="36"/>
        <v>-20.675646041540631</v>
      </c>
      <c r="AP27" s="170">
        <f t="shared" ca="1" si="36"/>
        <v>-43.584736950631623</v>
      </c>
      <c r="AQ27" s="170">
        <f t="shared" ca="1" si="36"/>
        <v>-31.948373314267883</v>
      </c>
      <c r="AR27" s="170">
        <f t="shared" ca="1" si="36"/>
        <v>-40.312009677904825</v>
      </c>
      <c r="AS27" s="170">
        <f t="shared" ca="1" si="36"/>
        <v>-26.766555132449867</v>
      </c>
      <c r="AT27" s="170">
        <f t="shared" ca="1" si="36"/>
        <v>-3.3120096779048254</v>
      </c>
      <c r="AU27" s="170">
        <f t="shared" ca="1" si="36"/>
        <v>-33.948373314268338</v>
      </c>
      <c r="AV27" s="170">
        <f t="shared" ca="1" si="36"/>
        <v>-49.675646041540858</v>
      </c>
      <c r="AW27" s="170">
        <f t="shared" ca="1" si="36"/>
        <v>-50.58473695063185</v>
      </c>
      <c r="AX27" s="170">
        <f t="shared" ca="1" si="36"/>
        <v>-30.584736950631395</v>
      </c>
    </row>
    <row r="28" spans="1:50" ht="12" customHeight="1">
      <c r="A28" s="162"/>
      <c r="B28" s="168" t="str">
        <f t="shared" ca="1" si="37"/>
        <v>El Gran</v>
      </c>
      <c r="C28" s="175">
        <f t="shared" ca="1" si="12"/>
        <v>149.04013935559379</v>
      </c>
      <c r="D28" s="175">
        <f t="shared" ca="1" si="13"/>
        <v>357.04013935559379</v>
      </c>
      <c r="E28" s="175">
        <f t="shared" ca="1" si="14"/>
        <v>506.04013935559379</v>
      </c>
      <c r="F28" s="175">
        <f t="shared" ca="1" si="15"/>
        <v>733.04013935559374</v>
      </c>
      <c r="G28" s="175">
        <f t="shared" ca="1" si="16"/>
        <v>824.04013935559374</v>
      </c>
      <c r="H28" s="175">
        <f t="shared" ca="1" si="17"/>
        <v>917.04013935559374</v>
      </c>
      <c r="I28" s="175">
        <f t="shared" ca="1" si="18"/>
        <v>1041.0401393555937</v>
      </c>
      <c r="J28" s="175">
        <f t="shared" ca="1" si="19"/>
        <v>1189.0401393555937</v>
      </c>
      <c r="K28" s="175">
        <f t="shared" ca="1" si="20"/>
        <v>1296.0401393555937</v>
      </c>
      <c r="L28" s="175">
        <f t="shared" ca="1" si="21"/>
        <v>1442.0401393555937</v>
      </c>
      <c r="M28" s="175">
        <f t="shared" ca="1" si="22"/>
        <v>1524.0401393555937</v>
      </c>
      <c r="N28" s="175">
        <f t="shared" ca="1" si="23"/>
        <v>1613.0401393555937</v>
      </c>
      <c r="O28" s="175">
        <f t="shared" ca="1" si="24"/>
        <v>1709.0401393555937</v>
      </c>
      <c r="P28" s="175">
        <f t="shared" ca="1" si="25"/>
        <v>1846.0401393555937</v>
      </c>
      <c r="Q28" s="175">
        <f t="shared" ca="1" si="26"/>
        <v>1928.0401393555937</v>
      </c>
      <c r="R28" s="175">
        <f t="shared" ca="1" si="27"/>
        <v>1994.0401393555937</v>
      </c>
      <c r="S28" s="175">
        <f t="shared" ca="1" si="28"/>
        <v>2079.040139355594</v>
      </c>
      <c r="T28" s="175">
        <f t="shared" ca="1" si="29"/>
        <v>2212.040139355594</v>
      </c>
      <c r="U28" s="175">
        <f t="shared" ca="1" si="30"/>
        <v>2344.040139355594</v>
      </c>
      <c r="V28" s="175">
        <f t="shared" ca="1" si="31"/>
        <v>2433.040139355594</v>
      </c>
      <c r="W28" s="175">
        <f t="shared" ca="1" si="32"/>
        <v>2560.040139355594</v>
      </c>
      <c r="X28" s="175">
        <f t="shared" ca="1" si="33"/>
        <v>2743.040139355594</v>
      </c>
      <c r="Z28" s="159"/>
      <c r="AB28" s="169" t="str">
        <f t="shared" ca="1" si="34"/>
        <v>El Gran</v>
      </c>
      <c r="AC28" s="170">
        <f t="shared" ca="1" si="35"/>
        <v>13.027172097398193</v>
      </c>
      <c r="AD28" s="170">
        <f t="shared" ca="1" si="38"/>
        <v>35.20899027921638</v>
      </c>
      <c r="AE28" s="170">
        <f t="shared" ca="1" si="36"/>
        <v>27.845353915580006</v>
      </c>
      <c r="AF28" s="170">
        <f t="shared" ca="1" si="36"/>
        <v>76.390808461034453</v>
      </c>
      <c r="AG28" s="170">
        <f t="shared" ca="1" si="36"/>
        <v>46.027172097398079</v>
      </c>
      <c r="AH28" s="170">
        <f t="shared" ca="1" si="36"/>
        <v>12.299899370125445</v>
      </c>
      <c r="AI28" s="170">
        <f t="shared" ca="1" si="36"/>
        <v>0.66353573376159147</v>
      </c>
      <c r="AJ28" s="170">
        <f t="shared" ca="1" si="36"/>
        <v>-15.700100629874441</v>
      </c>
      <c r="AK28" s="170">
        <f t="shared" ca="1" si="36"/>
        <v>-55.700100629874441</v>
      </c>
      <c r="AL28" s="170">
        <f t="shared" ca="1" si="36"/>
        <v>-61.791009720783677</v>
      </c>
      <c r="AM28" s="170">
        <f t="shared" ca="1" si="36"/>
        <v>-89.15464608441971</v>
      </c>
      <c r="AN28" s="170">
        <f t="shared" ca="1" si="36"/>
        <v>-136.06373699351116</v>
      </c>
      <c r="AO28" s="170">
        <f t="shared" ca="1" si="36"/>
        <v>-153.70010062987467</v>
      </c>
      <c r="AP28" s="170">
        <f t="shared" ca="1" si="36"/>
        <v>-183.60919153896566</v>
      </c>
      <c r="AQ28" s="170">
        <f t="shared" ca="1" si="36"/>
        <v>-203.97282790260192</v>
      </c>
      <c r="AR28" s="170">
        <f t="shared" ca="1" si="36"/>
        <v>-227.33646426623886</v>
      </c>
      <c r="AS28" s="170">
        <f t="shared" ca="1" si="36"/>
        <v>-233.79100972078368</v>
      </c>
      <c r="AT28" s="170">
        <f t="shared" ca="1" si="36"/>
        <v>-240.33646426623864</v>
      </c>
      <c r="AU28" s="170">
        <f t="shared" ca="1" si="36"/>
        <v>-260.97282790260215</v>
      </c>
      <c r="AV28" s="170">
        <f t="shared" ca="1" si="36"/>
        <v>-262.70010062987467</v>
      </c>
      <c r="AW28" s="170">
        <f t="shared" ca="1" si="36"/>
        <v>-287.60919153896566</v>
      </c>
      <c r="AX28" s="170">
        <f t="shared" ca="1" si="36"/>
        <v>-338.60919153896521</v>
      </c>
    </row>
    <row r="29" spans="1:50" ht="12" customHeight="1">
      <c r="A29" s="162"/>
      <c r="B29" s="168" t="str">
        <f t="shared" ca="1" si="37"/>
        <v>Winner on Wheels</v>
      </c>
      <c r="C29" s="175">
        <f t="shared" ca="1" si="12"/>
        <v>89.122179018372549</v>
      </c>
      <c r="D29" s="175">
        <f t="shared" ca="1" si="13"/>
        <v>221.12217901837255</v>
      </c>
      <c r="E29" s="175">
        <f t="shared" ca="1" si="14"/>
        <v>356.12217901837255</v>
      </c>
      <c r="F29" s="175">
        <f t="shared" ca="1" si="15"/>
        <v>480.12217901837255</v>
      </c>
      <c r="G29" s="175">
        <f t="shared" ca="1" si="16"/>
        <v>604.12217901837255</v>
      </c>
      <c r="H29" s="175">
        <f t="shared" ca="1" si="17"/>
        <v>747.12217901837255</v>
      </c>
      <c r="I29" s="175">
        <f t="shared" ca="1" si="18"/>
        <v>902.12217901837255</v>
      </c>
      <c r="J29" s="175">
        <f t="shared" ca="1" si="19"/>
        <v>1113.1221790183727</v>
      </c>
      <c r="K29" s="175">
        <f t="shared" ca="1" si="20"/>
        <v>1303.1221790183727</v>
      </c>
      <c r="L29" s="175">
        <f t="shared" ca="1" si="21"/>
        <v>1468.1221790183727</v>
      </c>
      <c r="M29" s="175">
        <f t="shared" ca="1" si="22"/>
        <v>1580.1221790183727</v>
      </c>
      <c r="N29" s="175">
        <f t="shared" ca="1" si="23"/>
        <v>1741.1221790183727</v>
      </c>
      <c r="O29" s="175">
        <f t="shared" ca="1" si="24"/>
        <v>1885.1221790183727</v>
      </c>
      <c r="P29" s="175">
        <f t="shared" ca="1" si="25"/>
        <v>2057.1221790183727</v>
      </c>
      <c r="Q29" s="175">
        <f t="shared" ca="1" si="26"/>
        <v>2163.1221790183727</v>
      </c>
      <c r="R29" s="175">
        <f t="shared" ca="1" si="27"/>
        <v>2269.1221790183727</v>
      </c>
      <c r="S29" s="175">
        <f t="shared" ca="1" si="28"/>
        <v>2352.1221790183727</v>
      </c>
      <c r="T29" s="175">
        <f t="shared" ca="1" si="29"/>
        <v>2489.1221790183727</v>
      </c>
      <c r="U29" s="175">
        <f t="shared" ca="1" si="30"/>
        <v>2631.1221790183727</v>
      </c>
      <c r="V29" s="175">
        <f t="shared" ca="1" si="31"/>
        <v>2736.1221790183727</v>
      </c>
      <c r="W29" s="175">
        <f t="shared" ca="1" si="32"/>
        <v>2877.1221790183727</v>
      </c>
      <c r="X29" s="175">
        <f t="shared" ca="1" si="33"/>
        <v>3163.1221790183727</v>
      </c>
      <c r="Z29" s="159"/>
      <c r="AB29" s="169" t="str">
        <f t="shared" ref="AB29" ca="1" si="39">B29</f>
        <v>Winner on Wheels</v>
      </c>
      <c r="AC29" s="170">
        <f ca="1">IF(C29&lt;&gt;0,C29-AC$33,"")</f>
        <v>-46.890788239823053</v>
      </c>
      <c r="AD29" s="170">
        <f t="shared" ca="1" si="38"/>
        <v>-100.70897005800487</v>
      </c>
      <c r="AE29" s="170">
        <f t="shared" ca="1" si="36"/>
        <v>-122.07260642164124</v>
      </c>
      <c r="AF29" s="170">
        <f t="shared" ca="1" si="36"/>
        <v>-176.52715187618674</v>
      </c>
      <c r="AG29" s="170">
        <f t="shared" ca="1" si="36"/>
        <v>-173.89078823982311</v>
      </c>
      <c r="AH29" s="170">
        <f t="shared" ca="1" si="36"/>
        <v>-157.61806096709574</v>
      </c>
      <c r="AI29" s="170">
        <f t="shared" ca="1" si="36"/>
        <v>-138.2544246034596</v>
      </c>
      <c r="AJ29" s="170">
        <f t="shared" ca="1" si="36"/>
        <v>-91.618060967095516</v>
      </c>
      <c r="AK29" s="170">
        <f t="shared" ca="1" si="36"/>
        <v>-48.618060967095516</v>
      </c>
      <c r="AL29" s="170">
        <f t="shared" ca="1" si="36"/>
        <v>-35.708970058004752</v>
      </c>
      <c r="AM29" s="170">
        <f t="shared" ca="1" si="36"/>
        <v>-33.072606421640785</v>
      </c>
      <c r="AN29" s="170">
        <f t="shared" ca="1" si="36"/>
        <v>-7.9816973307322314</v>
      </c>
      <c r="AO29" s="170">
        <f t="shared" ca="1" si="36"/>
        <v>22.381939032904256</v>
      </c>
      <c r="AP29" s="170">
        <f t="shared" ca="1" si="36"/>
        <v>27.472848123813264</v>
      </c>
      <c r="AQ29" s="170">
        <f t="shared" ca="1" si="36"/>
        <v>31.109211760177004</v>
      </c>
      <c r="AR29" s="170">
        <f t="shared" ca="1" si="36"/>
        <v>47.745575396540062</v>
      </c>
      <c r="AS29" s="170">
        <f t="shared" ca="1" si="36"/>
        <v>39.291029941995021</v>
      </c>
      <c r="AT29" s="170">
        <f t="shared" ca="1" si="36"/>
        <v>36.745575396540062</v>
      </c>
      <c r="AU29" s="170">
        <f t="shared" ca="1" si="36"/>
        <v>26.109211760176549</v>
      </c>
      <c r="AV29" s="170">
        <f t="shared" ca="1" si="36"/>
        <v>40.381939032904029</v>
      </c>
      <c r="AW29" s="170">
        <f t="shared" ca="1" si="36"/>
        <v>29.472848123813037</v>
      </c>
      <c r="AX29" s="170">
        <f t="shared" ca="1" si="36"/>
        <v>81.472848123813492</v>
      </c>
    </row>
    <row r="30" spans="1:50" ht="12" customHeight="1">
      <c r="A30" s="162"/>
      <c r="B30" s="168" t="str">
        <f t="shared" ca="1" si="37"/>
        <v>Ami</v>
      </c>
      <c r="C30" s="175">
        <f t="shared" ca="1" si="12"/>
        <v>96.117827662367404</v>
      </c>
      <c r="D30" s="175">
        <f t="shared" ca="1" si="13"/>
        <v>271.1178276623674</v>
      </c>
      <c r="E30" s="175">
        <f t="shared" ca="1" si="14"/>
        <v>394.1178276623674</v>
      </c>
      <c r="F30" s="175">
        <f t="shared" ca="1" si="15"/>
        <v>561.1178276623674</v>
      </c>
      <c r="G30" s="175">
        <f t="shared" ca="1" si="16"/>
        <v>677.1178276623674</v>
      </c>
      <c r="H30" s="175">
        <f t="shared" ca="1" si="17"/>
        <v>795.1178276623674</v>
      </c>
      <c r="I30" s="175">
        <f t="shared" ca="1" si="18"/>
        <v>909.1178276623674</v>
      </c>
      <c r="J30" s="175">
        <f t="shared" ca="1" si="19"/>
        <v>1091.1178276623673</v>
      </c>
      <c r="K30" s="175">
        <f t="shared" ca="1" si="20"/>
        <v>1228.1178276623673</v>
      </c>
      <c r="L30" s="175">
        <f t="shared" ca="1" si="21"/>
        <v>1369.1178276623673</v>
      </c>
      <c r="M30" s="175">
        <f t="shared" ca="1" si="22"/>
        <v>1472.1178276623673</v>
      </c>
      <c r="N30" s="175">
        <f t="shared" ca="1" si="23"/>
        <v>1651.1178276623673</v>
      </c>
      <c r="O30" s="175">
        <f t="shared" ca="1" si="24"/>
        <v>1763.1178276623673</v>
      </c>
      <c r="P30" s="175">
        <f t="shared" ca="1" si="25"/>
        <v>1944.1178276623673</v>
      </c>
      <c r="Q30" s="175">
        <f t="shared" ca="1" si="26"/>
        <v>2039.1178276623673</v>
      </c>
      <c r="R30" s="175">
        <f t="shared" ca="1" si="27"/>
        <v>2125.1178276623673</v>
      </c>
      <c r="S30" s="175">
        <f t="shared" ca="1" si="28"/>
        <v>2204.1178276623673</v>
      </c>
      <c r="T30" s="175">
        <f t="shared" ca="1" si="29"/>
        <v>2366.1178276623673</v>
      </c>
      <c r="U30" s="175">
        <f t="shared" ca="1" si="30"/>
        <v>2504.1178276623673</v>
      </c>
      <c r="V30" s="175">
        <f t="shared" ca="1" si="31"/>
        <v>2597.1178276623673</v>
      </c>
      <c r="W30" s="175">
        <f t="shared" ca="1" si="32"/>
        <v>2747.1178276623673</v>
      </c>
      <c r="X30" s="175">
        <f t="shared" ca="1" si="33"/>
        <v>3010.1178276623673</v>
      </c>
      <c r="Z30" s="159"/>
      <c r="AB30" s="169" t="str">
        <f t="shared" ca="1" si="34"/>
        <v>Ami</v>
      </c>
      <c r="AC30" s="170">
        <f t="shared" ca="1" si="35"/>
        <v>-39.895139595828198</v>
      </c>
      <c r="AD30" s="170">
        <f t="shared" ca="1" si="38"/>
        <v>-50.713321414010011</v>
      </c>
      <c r="AE30" s="170">
        <f t="shared" ca="1" si="36"/>
        <v>-84.076957777646385</v>
      </c>
      <c r="AF30" s="170">
        <f t="shared" ca="1" si="36"/>
        <v>-95.531503232191881</v>
      </c>
      <c r="AG30" s="170">
        <f t="shared" ca="1" si="36"/>
        <v>-100.89513959582825</v>
      </c>
      <c r="AH30" s="170">
        <f t="shared" ca="1" si="36"/>
        <v>-109.62241232310089</v>
      </c>
      <c r="AI30" s="170">
        <f t="shared" ca="1" si="36"/>
        <v>-131.25877595946474</v>
      </c>
      <c r="AJ30" s="170">
        <f t="shared" ca="1" si="36"/>
        <v>-113.62241232310089</v>
      </c>
      <c r="AK30" s="170">
        <f t="shared" ca="1" si="36"/>
        <v>-123.62241232310089</v>
      </c>
      <c r="AL30" s="170">
        <f t="shared" ca="1" si="36"/>
        <v>-134.71332141401012</v>
      </c>
      <c r="AM30" s="170">
        <f t="shared" ca="1" si="36"/>
        <v>-141.07695777764616</v>
      </c>
      <c r="AN30" s="170">
        <f t="shared" ca="1" si="36"/>
        <v>-97.986048686737604</v>
      </c>
      <c r="AO30" s="170">
        <f t="shared" ca="1" si="36"/>
        <v>-99.622412323101116</v>
      </c>
      <c r="AP30" s="170">
        <f t="shared" ca="1" si="36"/>
        <v>-85.531503232192108</v>
      </c>
      <c r="AQ30" s="170">
        <f t="shared" ca="1" si="36"/>
        <v>-92.895139595828368</v>
      </c>
      <c r="AR30" s="170">
        <f t="shared" ca="1" si="36"/>
        <v>-96.258775959465311</v>
      </c>
      <c r="AS30" s="170">
        <f t="shared" ca="1" si="36"/>
        <v>-108.71332141401035</v>
      </c>
      <c r="AT30" s="170">
        <f t="shared" ca="1" si="36"/>
        <v>-86.258775959465311</v>
      </c>
      <c r="AU30" s="170">
        <f t="shared" ca="1" si="36"/>
        <v>-100.89513959582882</v>
      </c>
      <c r="AV30" s="170">
        <f t="shared" ca="1" si="36"/>
        <v>-98.622412323101344</v>
      </c>
      <c r="AW30" s="170">
        <f t="shared" ca="1" si="36"/>
        <v>-100.53150323219234</v>
      </c>
      <c r="AX30" s="170">
        <f t="shared" ca="1" si="36"/>
        <v>-71.531503232191881</v>
      </c>
    </row>
    <row r="31" spans="1:50" ht="12" customHeight="1">
      <c r="A31" s="162"/>
      <c r="B31" s="168" t="str">
        <f t="shared" ca="1" si="37"/>
        <v>Mahawong</v>
      </c>
      <c r="C31" s="175">
        <f t="shared" ca="1" si="12"/>
        <v>111.08929908458583</v>
      </c>
      <c r="D31" s="175">
        <f t="shared" ca="1" si="13"/>
        <v>224.08929908458583</v>
      </c>
      <c r="E31" s="175">
        <f t="shared" ca="1" si="14"/>
        <v>360.08929908458583</v>
      </c>
      <c r="F31" s="175">
        <f t="shared" ca="1" si="15"/>
        <v>476.08929908458583</v>
      </c>
      <c r="G31" s="175">
        <f t="shared" ca="1" si="16"/>
        <v>588.08929908458583</v>
      </c>
      <c r="H31" s="175">
        <f t="shared" ca="1" si="17"/>
        <v>710.08929908458583</v>
      </c>
      <c r="I31" s="175">
        <f t="shared" ca="1" si="18"/>
        <v>812.08929908458583</v>
      </c>
      <c r="J31" s="175">
        <f t="shared" ca="1" si="19"/>
        <v>953.08929908458583</v>
      </c>
      <c r="K31" s="175">
        <f t="shared" ca="1" si="20"/>
        <v>1053.0892990845859</v>
      </c>
      <c r="L31" s="175">
        <f t="shared" ca="1" si="21"/>
        <v>1153.0892990845859</v>
      </c>
      <c r="M31" s="175">
        <f t="shared" ca="1" si="22"/>
        <v>1254.0892990845859</v>
      </c>
      <c r="N31" s="175">
        <f t="shared" ca="1" si="23"/>
        <v>1376.0892990845859</v>
      </c>
      <c r="O31" s="175">
        <f t="shared" ca="1" si="24"/>
        <v>1430.0892990845859</v>
      </c>
      <c r="P31" s="175">
        <f t="shared" ca="1" si="25"/>
        <v>1565.0892990845859</v>
      </c>
      <c r="Q31" s="175">
        <f t="shared" ca="1" si="26"/>
        <v>1636.0892990845859</v>
      </c>
      <c r="R31" s="175">
        <f t="shared" ca="1" si="27"/>
        <v>1706.0892990845859</v>
      </c>
      <c r="S31" s="175">
        <f t="shared" ca="1" si="28"/>
        <v>1812.0892990845859</v>
      </c>
      <c r="T31" s="175">
        <f t="shared" ca="1" si="29"/>
        <v>1930.0892990845859</v>
      </c>
      <c r="U31" s="175">
        <f t="shared" ca="1" si="30"/>
        <v>2040.0892990845859</v>
      </c>
      <c r="V31" s="175">
        <f t="shared" ca="1" si="31"/>
        <v>2126.0892990845859</v>
      </c>
      <c r="W31" s="175">
        <f t="shared" ca="1" si="32"/>
        <v>2223.0892990845859</v>
      </c>
      <c r="X31" s="175">
        <f t="shared" ca="1" si="33"/>
        <v>2395.0892990845859</v>
      </c>
      <c r="Z31" s="159"/>
      <c r="AB31" s="169" t="str">
        <f t="shared" ca="1" si="34"/>
        <v>Mahawong</v>
      </c>
      <c r="AC31" s="170">
        <f ca="1">IF(C31&lt;&gt;0,C31-AC$33,"")</f>
        <v>-24.923668173609769</v>
      </c>
      <c r="AD31" s="170">
        <f t="shared" ca="1" si="38"/>
        <v>-97.741849991791582</v>
      </c>
      <c r="AE31" s="170">
        <f t="shared" ca="1" si="36"/>
        <v>-118.10548635542796</v>
      </c>
      <c r="AF31" s="170">
        <f t="shared" ca="1" si="36"/>
        <v>-180.56003180997345</v>
      </c>
      <c r="AG31" s="170">
        <f t="shared" ca="1" si="36"/>
        <v>-189.92366817360983</v>
      </c>
      <c r="AH31" s="170">
        <f t="shared" ca="1" si="36"/>
        <v>-194.65094090088246</v>
      </c>
      <c r="AI31" s="170">
        <f t="shared" ca="1" si="36"/>
        <v>-228.28730453724631</v>
      </c>
      <c r="AJ31" s="170">
        <f t="shared" ca="1" si="36"/>
        <v>-251.65094090088235</v>
      </c>
      <c r="AK31" s="170">
        <f t="shared" ca="1" si="36"/>
        <v>-298.65094090088223</v>
      </c>
      <c r="AL31" s="170">
        <f t="shared" ca="1" si="36"/>
        <v>-350.74184999179147</v>
      </c>
      <c r="AM31" s="170">
        <f t="shared" ca="1" si="36"/>
        <v>-359.1054863554275</v>
      </c>
      <c r="AN31" s="170">
        <f t="shared" ca="1" si="36"/>
        <v>-373.01457726451895</v>
      </c>
      <c r="AO31" s="170">
        <f t="shared" ca="1" si="36"/>
        <v>-432.65094090088246</v>
      </c>
      <c r="AP31" s="170">
        <f t="shared" ca="1" si="36"/>
        <v>-464.56003180997345</v>
      </c>
      <c r="AQ31" s="170">
        <f t="shared" ca="1" si="36"/>
        <v>-495.92366817360971</v>
      </c>
      <c r="AR31" s="170">
        <f t="shared" ca="1" si="36"/>
        <v>-515.28730453724665</v>
      </c>
      <c r="AS31" s="170">
        <f t="shared" ca="1" si="36"/>
        <v>-500.7418499917917</v>
      </c>
      <c r="AT31" s="170">
        <f t="shared" ca="1" si="36"/>
        <v>-522.28730453724665</v>
      </c>
      <c r="AU31" s="170">
        <f t="shared" ca="1" si="36"/>
        <v>-564.92366817361017</v>
      </c>
      <c r="AV31" s="170">
        <f t="shared" ca="1" si="36"/>
        <v>-569.65094090088269</v>
      </c>
      <c r="AW31" s="170">
        <f t="shared" ca="1" si="36"/>
        <v>-624.56003180997368</v>
      </c>
      <c r="AX31" s="170">
        <f t="shared" ca="1" si="36"/>
        <v>-686.56003180997322</v>
      </c>
    </row>
    <row r="32" spans="1:50" ht="12" customHeight="1">
      <c r="A32" s="162"/>
      <c r="B32" s="168" t="str">
        <f t="shared" ca="1" si="37"/>
        <v>Lothars Revenge: Oranje (naar) boven!</v>
      </c>
      <c r="C32" s="175">
        <f t="shared" ca="1" si="12"/>
        <v>106.05214773038122</v>
      </c>
      <c r="D32" s="175">
        <f t="shared" ca="1" si="13"/>
        <v>291.05214773038119</v>
      </c>
      <c r="E32" s="175">
        <f t="shared" ca="1" si="14"/>
        <v>408.05214773038119</v>
      </c>
      <c r="F32" s="175">
        <f t="shared" ca="1" si="15"/>
        <v>567.05214773038119</v>
      </c>
      <c r="G32" s="175">
        <f t="shared" ca="1" si="16"/>
        <v>667.05214773038119</v>
      </c>
      <c r="H32" s="175">
        <f t="shared" ca="1" si="17"/>
        <v>756.05214773038119</v>
      </c>
      <c r="I32" s="175">
        <f t="shared" ca="1" si="18"/>
        <v>864.05214773038119</v>
      </c>
      <c r="J32" s="175">
        <f t="shared" ca="1" si="19"/>
        <v>1007.0521477303812</v>
      </c>
      <c r="K32" s="175">
        <f t="shared" ca="1" si="20"/>
        <v>1119.0521477303812</v>
      </c>
      <c r="L32" s="175">
        <f t="shared" ca="1" si="21"/>
        <v>1278.0521477303812</v>
      </c>
      <c r="M32" s="175">
        <f t="shared" ca="1" si="22"/>
        <v>1358.0521477303812</v>
      </c>
      <c r="N32" s="175">
        <f t="shared" ca="1" si="23"/>
        <v>1419.0521477303812</v>
      </c>
      <c r="O32" s="175">
        <f t="shared" ca="1" si="24"/>
        <v>1516.0521477303812</v>
      </c>
      <c r="P32" s="175">
        <f t="shared" ca="1" si="25"/>
        <v>1622.0521477303812</v>
      </c>
      <c r="Q32" s="175">
        <f t="shared" ca="1" si="26"/>
        <v>1699.0521477303812</v>
      </c>
      <c r="R32" s="175">
        <f t="shared" ca="1" si="27"/>
        <v>1760.0521477303812</v>
      </c>
      <c r="S32" s="175">
        <f t="shared" ca="1" si="28"/>
        <v>1805.0521477303812</v>
      </c>
      <c r="T32" s="175">
        <f t="shared" ca="1" si="29"/>
        <v>1949.0521477303812</v>
      </c>
      <c r="U32" s="175">
        <f t="shared" ca="1" si="30"/>
        <v>2070.052147730381</v>
      </c>
      <c r="V32" s="175">
        <f t="shared" ca="1" si="31"/>
        <v>2146.052147730381</v>
      </c>
      <c r="W32" s="175">
        <f t="shared" ca="1" si="32"/>
        <v>2258.052147730381</v>
      </c>
      <c r="X32" s="175">
        <f t="shared" ca="1" si="33"/>
        <v>2417.052147730381</v>
      </c>
      <c r="Z32" s="159"/>
      <c r="AB32" s="169" t="str">
        <f t="shared" ca="1" si="34"/>
        <v>Lothars Revenge: Oranje (naar) boven!</v>
      </c>
      <c r="AC32" s="170">
        <f ca="1">IF(C32&lt;&gt;0,C32-AC$33,"")</f>
        <v>-29.96081952781438</v>
      </c>
      <c r="AD32" s="170">
        <f t="shared" ca="1" si="38"/>
        <v>-30.779001345996221</v>
      </c>
      <c r="AE32" s="170">
        <f t="shared" ca="1" si="36"/>
        <v>-70.142637709632595</v>
      </c>
      <c r="AF32" s="170">
        <f t="shared" ca="1" si="36"/>
        <v>-89.597183164178091</v>
      </c>
      <c r="AG32" s="170">
        <f t="shared" ca="1" si="36"/>
        <v>-110.96081952781446</v>
      </c>
      <c r="AH32" s="170">
        <f t="shared" ca="1" si="36"/>
        <v>-148.6880922550871</v>
      </c>
      <c r="AI32" s="170">
        <f t="shared" ca="1" si="36"/>
        <v>-176.32445589145095</v>
      </c>
      <c r="AJ32" s="170">
        <f t="shared" ca="1" si="36"/>
        <v>-197.68809225508699</v>
      </c>
      <c r="AK32" s="170">
        <f t="shared" ca="1" si="36"/>
        <v>-232.68809225508699</v>
      </c>
      <c r="AL32" s="170">
        <f t="shared" ca="1" si="36"/>
        <v>-225.77900134599622</v>
      </c>
      <c r="AM32" s="170">
        <f t="shared" ca="1" si="36"/>
        <v>-255.14263770963225</v>
      </c>
      <c r="AN32" s="170">
        <f t="shared" ca="1" si="36"/>
        <v>-330.0517286187237</v>
      </c>
      <c r="AO32" s="170">
        <f t="shared" ca="1" si="36"/>
        <v>-346.68809225508721</v>
      </c>
      <c r="AP32" s="170">
        <f t="shared" ca="1" si="36"/>
        <v>-407.5971831641782</v>
      </c>
      <c r="AQ32" s="170">
        <f t="shared" ca="1" si="36"/>
        <v>-432.96081952781446</v>
      </c>
      <c r="AR32" s="170">
        <f t="shared" ca="1" si="36"/>
        <v>-461.32445589145141</v>
      </c>
      <c r="AS32" s="170">
        <f t="shared" ca="1" si="36"/>
        <v>-507.77900134599645</v>
      </c>
      <c r="AT32" s="170">
        <f t="shared" ca="1" si="36"/>
        <v>-503.32445589145141</v>
      </c>
      <c r="AU32" s="170">
        <f t="shared" ca="1" si="36"/>
        <v>-534.96081952781515</v>
      </c>
      <c r="AV32" s="170">
        <f t="shared" ca="1" si="36"/>
        <v>-549.68809225508767</v>
      </c>
      <c r="AW32" s="170">
        <f t="shared" ca="1" si="36"/>
        <v>-589.59718316417866</v>
      </c>
      <c r="AX32" s="170">
        <f t="shared" ca="1" si="36"/>
        <v>-664.5971831641782</v>
      </c>
    </row>
    <row r="33" spans="1:60" ht="12" customHeight="1">
      <c r="A33" s="171"/>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59"/>
      <c r="AC33" s="172">
        <f ca="1">AVERAGE(C22:C32)</f>
        <v>136.0129672581956</v>
      </c>
      <c r="AD33" s="172">
        <f ca="1">AVERAGE(D22:D32)</f>
        <v>321.83114907637741</v>
      </c>
      <c r="AE33" s="172">
        <f t="shared" ref="AE33:AX33" ca="1" si="40">AVERAGE(E22:E32)</f>
        <v>478.19478544001379</v>
      </c>
      <c r="AF33" s="172">
        <f t="shared" ca="1" si="40"/>
        <v>656.64933089455928</v>
      </c>
      <c r="AG33" s="172">
        <f t="shared" ca="1" si="40"/>
        <v>778.01296725819566</v>
      </c>
      <c r="AH33" s="172">
        <f t="shared" ca="1" si="40"/>
        <v>904.74023998546829</v>
      </c>
      <c r="AI33" s="172">
        <f t="shared" ca="1" si="40"/>
        <v>1040.3766036218321</v>
      </c>
      <c r="AJ33" s="172">
        <f t="shared" ca="1" si="40"/>
        <v>1204.7402399854682</v>
      </c>
      <c r="AK33" s="172">
        <f t="shared" ca="1" si="40"/>
        <v>1351.7402399854682</v>
      </c>
      <c r="AL33" s="172">
        <f t="shared" ca="1" si="40"/>
        <v>1503.8311490763774</v>
      </c>
      <c r="AM33" s="172">
        <f t="shared" ca="1" si="40"/>
        <v>1613.1947854400134</v>
      </c>
      <c r="AN33" s="172">
        <f t="shared" ca="1" si="40"/>
        <v>1749.1038763491049</v>
      </c>
      <c r="AO33" s="172">
        <f t="shared" ca="1" si="40"/>
        <v>1862.7402399854684</v>
      </c>
      <c r="AP33" s="172">
        <f t="shared" ca="1" si="40"/>
        <v>2029.6493308945594</v>
      </c>
      <c r="AQ33" s="172">
        <f t="shared" ca="1" si="40"/>
        <v>2132.0129672581957</v>
      </c>
      <c r="AR33" s="172">
        <f t="shared" ca="1" si="40"/>
        <v>2221.3766036218326</v>
      </c>
      <c r="AS33" s="172">
        <f t="shared" ca="1" si="40"/>
        <v>2312.8311490763776</v>
      </c>
      <c r="AT33" s="172">
        <f t="shared" ca="1" si="40"/>
        <v>2452.3766036218326</v>
      </c>
      <c r="AU33" s="172">
        <f t="shared" ca="1" si="40"/>
        <v>2605.0129672581961</v>
      </c>
      <c r="AV33" s="172">
        <f t="shared" ca="1" si="40"/>
        <v>2695.7402399854686</v>
      </c>
      <c r="AW33" s="172">
        <f t="shared" ca="1" si="40"/>
        <v>2847.6493308945596</v>
      </c>
      <c r="AX33" s="172">
        <f t="shared" ca="1" si="40"/>
        <v>3081.6493308945592</v>
      </c>
    </row>
    <row r="34" spans="1:60" ht="12" customHeight="1">
      <c r="F34" s="159"/>
      <c r="L34" s="158"/>
      <c r="AX34" s="170"/>
    </row>
    <row r="35" spans="1:60" ht="12" customHeight="1">
      <c r="B35" s="173" t="s">
        <v>16</v>
      </c>
      <c r="AB35" s="173" t="s">
        <v>107</v>
      </c>
    </row>
    <row r="36" spans="1:60" s="159" customFormat="1" ht="12" customHeight="1" thickBot="1">
      <c r="C36" s="161" t="str">
        <f>C2</f>
        <v>P</v>
      </c>
      <c r="D36" s="161">
        <f t="shared" ref="D36:X36" si="41">D2</f>
        <v>1</v>
      </c>
      <c r="E36" s="161">
        <f t="shared" si="41"/>
        <v>2</v>
      </c>
      <c r="F36" s="161">
        <f t="shared" si="41"/>
        <v>3</v>
      </c>
      <c r="G36" s="161">
        <f t="shared" si="41"/>
        <v>4</v>
      </c>
      <c r="H36" s="161">
        <f t="shared" si="41"/>
        <v>5</v>
      </c>
      <c r="I36" s="161">
        <f t="shared" si="41"/>
        <v>6</v>
      </c>
      <c r="J36" s="161">
        <f t="shared" si="41"/>
        <v>7</v>
      </c>
      <c r="K36" s="161">
        <f t="shared" si="41"/>
        <v>8</v>
      </c>
      <c r="L36" s="161">
        <f t="shared" si="41"/>
        <v>9</v>
      </c>
      <c r="M36" s="161">
        <f t="shared" si="41"/>
        <v>10</v>
      </c>
      <c r="N36" s="161">
        <f t="shared" si="41"/>
        <v>11</v>
      </c>
      <c r="O36" s="161">
        <f t="shared" si="41"/>
        <v>12</v>
      </c>
      <c r="P36" s="161">
        <f t="shared" si="41"/>
        <v>13</v>
      </c>
      <c r="Q36" s="161">
        <f t="shared" si="41"/>
        <v>14</v>
      </c>
      <c r="R36" s="161">
        <f t="shared" si="41"/>
        <v>15</v>
      </c>
      <c r="S36" s="161">
        <f t="shared" si="41"/>
        <v>16</v>
      </c>
      <c r="T36" s="161">
        <f t="shared" si="41"/>
        <v>17</v>
      </c>
      <c r="U36" s="161">
        <f t="shared" si="41"/>
        <v>18</v>
      </c>
      <c r="V36" s="161">
        <f t="shared" si="41"/>
        <v>19</v>
      </c>
      <c r="W36" s="161">
        <f t="shared" si="41"/>
        <v>20</v>
      </c>
      <c r="X36" s="207" t="str">
        <f t="shared" si="41"/>
        <v>B</v>
      </c>
      <c r="AC36" s="161" t="str">
        <f>C36</f>
        <v>P</v>
      </c>
      <c r="AD36" s="161">
        <f>D36</f>
        <v>1</v>
      </c>
      <c r="AE36" s="161">
        <f t="shared" ref="AE36:AX36" si="42">E36</f>
        <v>2</v>
      </c>
      <c r="AF36" s="161">
        <f t="shared" si="42"/>
        <v>3</v>
      </c>
      <c r="AG36" s="161">
        <f t="shared" si="42"/>
        <v>4</v>
      </c>
      <c r="AH36" s="161">
        <f t="shared" si="42"/>
        <v>5</v>
      </c>
      <c r="AI36" s="161">
        <f t="shared" si="42"/>
        <v>6</v>
      </c>
      <c r="AJ36" s="161">
        <f t="shared" si="42"/>
        <v>7</v>
      </c>
      <c r="AK36" s="161">
        <f t="shared" si="42"/>
        <v>8</v>
      </c>
      <c r="AL36" s="161">
        <f t="shared" si="42"/>
        <v>9</v>
      </c>
      <c r="AM36" s="161">
        <f t="shared" si="42"/>
        <v>10</v>
      </c>
      <c r="AN36" s="161">
        <f t="shared" si="42"/>
        <v>11</v>
      </c>
      <c r="AO36" s="161">
        <f t="shared" si="42"/>
        <v>12</v>
      </c>
      <c r="AP36" s="161">
        <f t="shared" si="42"/>
        <v>13</v>
      </c>
      <c r="AQ36" s="161">
        <f t="shared" si="42"/>
        <v>14</v>
      </c>
      <c r="AR36" s="161">
        <f t="shared" si="42"/>
        <v>15</v>
      </c>
      <c r="AS36" s="161">
        <f t="shared" si="42"/>
        <v>16</v>
      </c>
      <c r="AT36" s="161">
        <f t="shared" si="42"/>
        <v>17</v>
      </c>
      <c r="AU36" s="161">
        <f t="shared" si="42"/>
        <v>18</v>
      </c>
      <c r="AV36" s="161">
        <f t="shared" si="42"/>
        <v>19</v>
      </c>
      <c r="AW36" s="161">
        <f t="shared" si="42"/>
        <v>20</v>
      </c>
      <c r="AX36" s="161" t="str">
        <f t="shared" si="42"/>
        <v>B</v>
      </c>
      <c r="AZ36" s="174"/>
      <c r="BA36" s="174"/>
      <c r="BB36" s="174"/>
      <c r="BC36" s="174"/>
      <c r="BD36" s="174"/>
      <c r="BE36" s="174"/>
      <c r="BF36" s="174"/>
      <c r="BG36" s="174"/>
      <c r="BH36" s="174"/>
    </row>
    <row r="37" spans="1:60" ht="12" customHeight="1">
      <c r="A37" s="162"/>
      <c r="B37" s="168" t="str">
        <f ca="1">B22</f>
        <v>Am Selfkant</v>
      </c>
      <c r="C37" s="175">
        <f t="shared" ref="C37" ca="1" si="43">IF($AC3&lt;&gt;"",C22*$AC3,"")</f>
        <v>123.92488299233629</v>
      </c>
      <c r="D37" s="175">
        <f ca="1">IF($AC3&lt;&gt;"",D22*$AC3,"")</f>
        <v>283.06992116027527</v>
      </c>
      <c r="E37" s="175">
        <f t="shared" ref="E37:Y37" ca="1" si="44">IF($AC3&lt;&gt;"",E22*$AC3,"")</f>
        <v>456.68269007075406</v>
      </c>
      <c r="F37" s="175">
        <f t="shared" ca="1" si="44"/>
        <v>606.78539652460563</v>
      </c>
      <c r="G37" s="175">
        <f t="shared" ca="1" si="44"/>
        <v>736.09074003605599</v>
      </c>
      <c r="H37" s="175">
        <f t="shared" ca="1" si="44"/>
        <v>869.91724940455003</v>
      </c>
      <c r="I37" s="175">
        <f t="shared" ca="1" si="44"/>
        <v>1018.2114895155842</v>
      </c>
      <c r="J37" s="175">
        <f t="shared" ca="1" si="44"/>
        <v>1194.5369579402893</v>
      </c>
      <c r="K37" s="175">
        <f t="shared" ca="1" si="44"/>
        <v>1370.8624263649942</v>
      </c>
      <c r="L37" s="175">
        <f t="shared" ca="1" si="44"/>
        <v>1522.7735991616632</v>
      </c>
      <c r="M37" s="175">
        <f t="shared" ca="1" si="44"/>
        <v>1642.1323777876175</v>
      </c>
      <c r="N37" s="175">
        <f t="shared" ca="1" si="44"/>
        <v>1807.6070481554177</v>
      </c>
      <c r="O37" s="175">
        <f t="shared" ca="1" si="44"/>
        <v>1933.295458981233</v>
      </c>
      <c r="P37" s="175">
        <f t="shared" ca="1" si="44"/>
        <v>2122.2801918056607</v>
      </c>
      <c r="Q37" s="175">
        <f t="shared" ca="1" si="44"/>
        <v>2245.2559031172495</v>
      </c>
      <c r="R37" s="175">
        <f t="shared" ca="1" si="44"/>
        <v>2341.1046192865765</v>
      </c>
      <c r="S37" s="175">
        <f t="shared" ca="1" si="44"/>
        <v>2419.7729051991373</v>
      </c>
      <c r="T37" s="175">
        <f t="shared" ca="1" si="44"/>
        <v>2560.8332799389013</v>
      </c>
      <c r="U37" s="175">
        <f t="shared" ca="1" si="44"/>
        <v>2738.0629815350153</v>
      </c>
      <c r="V37" s="175">
        <f t="shared" ca="1" si="44"/>
        <v>2823.0608996474371</v>
      </c>
      <c r="W37" s="175">
        <f t="shared" ca="1" si="44"/>
        <v>2994.8652022150982</v>
      </c>
      <c r="X37" s="175">
        <f t="shared" ca="1" si="44"/>
        <v>3261.6139877806777</v>
      </c>
      <c r="Y37" s="175">
        <f t="shared" ca="1" si="44"/>
        <v>0</v>
      </c>
      <c r="Z37" s="159"/>
      <c r="AA37" s="159"/>
      <c r="AB37" s="169" t="str">
        <f t="shared" ref="AB37:AB48" ca="1" si="45">B37</f>
        <v>Am Selfkant</v>
      </c>
      <c r="AC37" s="170">
        <f t="shared" ref="AC37:AD47" ca="1" si="46">C37-AC$48</f>
        <v>-11.41194634530423</v>
      </c>
      <c r="AD37" s="170">
        <f t="shared" ca="1" si="46"/>
        <v>-37.924444752259376</v>
      </c>
      <c r="AE37" s="170">
        <f t="shared" ref="AE37:AE47" ca="1" si="47">E37-AE$48</f>
        <v>-19.920848933530863</v>
      </c>
      <c r="AF37" s="170">
        <f t="shared" ref="AF37:AF47" ca="1" si="48">F37-AF$48</f>
        <v>-47.777946391331056</v>
      </c>
      <c r="AG37" s="170">
        <f t="shared" ref="AG37:AG47" ca="1" si="49">G37-AG$48</f>
        <v>-39.839570505312167</v>
      </c>
      <c r="AH37" s="170">
        <f t="shared" ref="AH37:AH47" ca="1" si="50">H37-AH$48</f>
        <v>-32.606159484534032</v>
      </c>
      <c r="AI37" s="170">
        <f t="shared" ref="AI37:AI47" ca="1" si="51">I37-AI$48</f>
        <v>-19.497525508500985</v>
      </c>
      <c r="AJ37" s="170">
        <f t="shared" ref="AJ37:AJ47" ca="1" si="52">J37-AJ$48</f>
        <v>-8.7164104263906665</v>
      </c>
      <c r="AK37" s="170">
        <f t="shared" ref="AK37:AK47" ca="1" si="53">K37-AK$48</f>
        <v>21.140163021703984</v>
      </c>
      <c r="AL37" s="170">
        <f t="shared" ref="AL37:AL47" ca="1" si="54">L37-AL$48</f>
        <v>20.405213783643831</v>
      </c>
      <c r="AM37" s="170">
        <f t="shared" ref="AM37:AM47" ca="1" si="55">M37-AM$48</f>
        <v>30.335162058631113</v>
      </c>
      <c r="AN37" s="170">
        <f t="shared" ref="AN37:AN47" ca="1" si="56">N37-AN$48</f>
        <v>60.447683847319013</v>
      </c>
      <c r="AO37" s="170">
        <f t="shared" ref="AO37:AO47" ca="1" si="57">O37-AO$48</f>
        <v>73.078344332769348</v>
      </c>
      <c r="AP37" s="170">
        <f t="shared" ref="AP37:AP47" ca="1" si="58">P37-AP$48</f>
        <v>95.987776703553891</v>
      </c>
      <c r="AQ37" s="170">
        <f t="shared" ref="AQ37:AQ47" ca="1" si="59">Q37-AQ$48</f>
        <v>117.17847263044132</v>
      </c>
      <c r="AR37" s="170">
        <f t="shared" ref="AR37:AR47" ca="1" si="60">R37-AR$48</f>
        <v>124.15177071722974</v>
      </c>
      <c r="AS37" s="170">
        <f t="shared" ref="AS37:AS47" ca="1" si="61">S37-AS$48</f>
        <v>111.51490913440921</v>
      </c>
      <c r="AT37" s="170">
        <f t="shared" ref="AT37:AT47" ca="1" si="62">T37-AT$48</f>
        <v>111.49343005955552</v>
      </c>
      <c r="AU37" s="170">
        <f t="shared" ref="AU37:AU47" ca="1" si="63">U37-AU$48</f>
        <v>137.06092663354548</v>
      </c>
      <c r="AV37" s="170">
        <f t="shared" ref="AV37:AV47" ca="1" si="64">V37-AV$48</f>
        <v>130.65780328380288</v>
      </c>
      <c r="AW37" s="170">
        <f t="shared" ref="AW37:AW47" ca="1" si="65">W37-AW$48</f>
        <v>151.81356732566064</v>
      </c>
      <c r="AX37" s="170">
        <f t="shared" ref="AX37:AX47" ca="1" si="66">X37-AX$48</f>
        <v>184.973574091101</v>
      </c>
      <c r="AZ37" s="176"/>
      <c r="BC37" s="176"/>
      <c r="BD37" s="177"/>
      <c r="BE37" s="177"/>
    </row>
    <row r="38" spans="1:60" ht="12" customHeight="1">
      <c r="A38" s="162"/>
      <c r="B38" s="168" t="str">
        <f t="shared" ref="B38:B47" ca="1" si="67">B23</f>
        <v>City United</v>
      </c>
      <c r="C38" s="175">
        <f t="shared" ref="C38:D38" ca="1" si="68">IF($AC4&lt;&gt;"",C23*$AC4,"")</f>
        <v>144.07565004859671</v>
      </c>
      <c r="D38" s="175">
        <f t="shared" ca="1" si="68"/>
        <v>340.89243326537991</v>
      </c>
      <c r="E38" s="175">
        <f t="shared" ref="E38:Y38" ca="1" si="69">IF($AC4&lt;&gt;"",E23*$AC4,"")</f>
        <v>506.72879690174364</v>
      </c>
      <c r="F38" s="175">
        <f t="shared" ca="1" si="69"/>
        <v>710.83509060803738</v>
      </c>
      <c r="G38" s="175">
        <f t="shared" ca="1" si="69"/>
        <v>847.51341228635908</v>
      </c>
      <c r="H38" s="175">
        <f t="shared" ca="1" si="69"/>
        <v>988.74767802062479</v>
      </c>
      <c r="I38" s="175">
        <f t="shared" ca="1" si="69"/>
        <v>1141.8273983003451</v>
      </c>
      <c r="J38" s="175">
        <f t="shared" ca="1" si="69"/>
        <v>1286.7064192793659</v>
      </c>
      <c r="K38" s="175">
        <f t="shared" ca="1" si="69"/>
        <v>1432.4966290695759</v>
      </c>
      <c r="L38" s="175">
        <f t="shared" ca="1" si="69"/>
        <v>1577.3756500485968</v>
      </c>
      <c r="M38" s="175">
        <f t="shared" ca="1" si="69"/>
        <v>1666.6721535451004</v>
      </c>
      <c r="N38" s="175">
        <f t="shared" ca="1" si="69"/>
        <v>1796.0609647339115</v>
      </c>
      <c r="O38" s="175">
        <f t="shared" ca="1" si="69"/>
        <v>1917.2490766220237</v>
      </c>
      <c r="P38" s="175">
        <f t="shared" ca="1" si="69"/>
        <v>2085.8190066919537</v>
      </c>
      <c r="Q38" s="175">
        <f t="shared" ca="1" si="69"/>
        <v>2182.4050206779675</v>
      </c>
      <c r="R38" s="175">
        <f t="shared" ca="1" si="69"/>
        <v>2273.5239017968488</v>
      </c>
      <c r="S38" s="175">
        <f t="shared" ca="1" si="69"/>
        <v>2385.6001255730725</v>
      </c>
      <c r="T38" s="175">
        <f t="shared" ca="1" si="69"/>
        <v>2493.1204052933522</v>
      </c>
      <c r="U38" s="175">
        <f t="shared" ca="1" si="69"/>
        <v>2667.1574682304154</v>
      </c>
      <c r="V38" s="175">
        <f t="shared" ca="1" si="69"/>
        <v>2748.2532724262196</v>
      </c>
      <c r="W38" s="175">
        <f t="shared" ca="1" si="69"/>
        <v>2916.8232024961494</v>
      </c>
      <c r="X38" s="175">
        <f t="shared" ca="1" si="69"/>
        <v>3130.0413843143315</v>
      </c>
      <c r="Y38" s="175">
        <f t="shared" ca="1" si="69"/>
        <v>0</v>
      </c>
      <c r="Z38" s="159"/>
      <c r="AA38" s="159"/>
      <c r="AB38" s="169" t="str">
        <f ca="1">B38</f>
        <v>City United</v>
      </c>
      <c r="AC38" s="170">
        <f t="shared" ca="1" si="46"/>
        <v>8.7388207109561904</v>
      </c>
      <c r="AD38" s="170">
        <f t="shared" ca="1" si="46"/>
        <v>19.89806735284526</v>
      </c>
      <c r="AE38" s="170">
        <f t="shared" ca="1" si="47"/>
        <v>30.12525789745871</v>
      </c>
      <c r="AF38" s="170">
        <f t="shared" ca="1" si="48"/>
        <v>56.271747692100689</v>
      </c>
      <c r="AG38" s="170">
        <f t="shared" ca="1" si="49"/>
        <v>71.583101744990927</v>
      </c>
      <c r="AH38" s="170">
        <f t="shared" ca="1" si="50"/>
        <v>86.224269131540723</v>
      </c>
      <c r="AI38" s="170">
        <f t="shared" ca="1" si="51"/>
        <v>104.11838327625992</v>
      </c>
      <c r="AJ38" s="170">
        <f t="shared" ca="1" si="52"/>
        <v>83.453050912685967</v>
      </c>
      <c r="AK38" s="170">
        <f t="shared" ca="1" si="53"/>
        <v>82.774365726285623</v>
      </c>
      <c r="AL38" s="170">
        <f t="shared" ca="1" si="54"/>
        <v>75.007264670577342</v>
      </c>
      <c r="AM38" s="170">
        <f t="shared" ca="1" si="55"/>
        <v>54.87493781611397</v>
      </c>
      <c r="AN38" s="170">
        <f t="shared" ca="1" si="56"/>
        <v>48.901600425812831</v>
      </c>
      <c r="AO38" s="170">
        <f t="shared" ca="1" si="57"/>
        <v>57.031961973560101</v>
      </c>
      <c r="AP38" s="170">
        <f t="shared" ca="1" si="58"/>
        <v>59.52659158984693</v>
      </c>
      <c r="AQ38" s="170">
        <f t="shared" ca="1" si="59"/>
        <v>54.327590191159288</v>
      </c>
      <c r="AR38" s="170">
        <f t="shared" ca="1" si="60"/>
        <v>56.571053227502034</v>
      </c>
      <c r="AS38" s="170">
        <f t="shared" ca="1" si="61"/>
        <v>77.342129508344442</v>
      </c>
      <c r="AT38" s="170">
        <f t="shared" ca="1" si="62"/>
        <v>43.780555414006358</v>
      </c>
      <c r="AU38" s="170">
        <f t="shared" ca="1" si="63"/>
        <v>66.155413328945542</v>
      </c>
      <c r="AV38" s="170">
        <f t="shared" ca="1" si="64"/>
        <v>55.850176062585433</v>
      </c>
      <c r="AW38" s="170">
        <f t="shared" ca="1" si="65"/>
        <v>73.771567606711869</v>
      </c>
      <c r="AX38" s="170">
        <f t="shared" ca="1" si="66"/>
        <v>53.400970624754791</v>
      </c>
      <c r="AZ38" s="176"/>
      <c r="BC38" s="176"/>
      <c r="BD38" s="177"/>
      <c r="BE38" s="177"/>
    </row>
    <row r="39" spans="1:60" ht="12" customHeight="1">
      <c r="A39" s="162"/>
      <c r="B39" s="168" t="str">
        <f t="shared" ca="1" si="67"/>
        <v>De Lange Man</v>
      </c>
      <c r="C39" s="175">
        <f t="shared" ref="C39:D39" ca="1" si="70">IF($AC5&lt;&gt;"",C24*$AC5,"")</f>
        <v>134.09227317904811</v>
      </c>
      <c r="D39" s="175">
        <f t="shared" ca="1" si="70"/>
        <v>297.19507038184531</v>
      </c>
      <c r="E39" s="175">
        <f t="shared" ref="E39:Y39" ca="1" si="71">IF($AC5&lt;&gt;"",E24*$AC5,"")</f>
        <v>450.27479066156559</v>
      </c>
      <c r="F39" s="175">
        <f t="shared" ca="1" si="71"/>
        <v>630.6901752769503</v>
      </c>
      <c r="G39" s="175">
        <f t="shared" ca="1" si="71"/>
        <v>740.03283261960769</v>
      </c>
      <c r="H39" s="175">
        <f t="shared" ca="1" si="71"/>
        <v>848.46430115107614</v>
      </c>
      <c r="I39" s="175">
        <f t="shared" ca="1" si="71"/>
        <v>974.2083570951321</v>
      </c>
      <c r="J39" s="175">
        <f t="shared" ca="1" si="71"/>
        <v>1115.4426228293978</v>
      </c>
      <c r="K39" s="175">
        <f t="shared" ca="1" si="71"/>
        <v>1257.5880773748524</v>
      </c>
      <c r="L39" s="175">
        <f t="shared" ca="1" si="71"/>
        <v>1398.8223431091183</v>
      </c>
      <c r="M39" s="175">
        <f t="shared" ca="1" si="71"/>
        <v>1520.9216438084188</v>
      </c>
      <c r="N39" s="175">
        <f t="shared" ca="1" si="71"/>
        <v>1646.6656997524749</v>
      </c>
      <c r="O39" s="175">
        <f t="shared" ca="1" si="71"/>
        <v>1746.8964689832439</v>
      </c>
      <c r="P39" s="175">
        <f t="shared" ca="1" si="71"/>
        <v>1912.7328326196077</v>
      </c>
      <c r="Q39" s="175">
        <f t="shared" ca="1" si="71"/>
        <v>2008.4076577944329</v>
      </c>
      <c r="R39" s="175">
        <f t="shared" ca="1" si="71"/>
        <v>2121.3950703818455</v>
      </c>
      <c r="S39" s="175">
        <f t="shared" ca="1" si="71"/>
        <v>2230.7377277245027</v>
      </c>
      <c r="T39" s="175">
        <f t="shared" ca="1" si="71"/>
        <v>2340.08038506716</v>
      </c>
      <c r="U39" s="175">
        <f t="shared" ca="1" si="71"/>
        <v>2488.6041612909362</v>
      </c>
      <c r="V39" s="175">
        <f t="shared" ca="1" si="71"/>
        <v>2571.5223431091181</v>
      </c>
      <c r="W39" s="175">
        <f t="shared" ca="1" si="71"/>
        <v>2718.2237417105166</v>
      </c>
      <c r="X39" s="175">
        <f t="shared" ca="1" si="71"/>
        <v>2935.9978675846428</v>
      </c>
      <c r="Y39" s="175">
        <f t="shared" ca="1" si="71"/>
        <v>0</v>
      </c>
      <c r="Z39" s="159"/>
      <c r="AA39" s="159"/>
      <c r="AB39" s="169" t="str">
        <f t="shared" ca="1" si="45"/>
        <v>De Lange Man</v>
      </c>
      <c r="AC39" s="170">
        <f t="shared" ca="1" si="46"/>
        <v>-1.2445561585924168</v>
      </c>
      <c r="AD39" s="170">
        <f t="shared" ca="1" si="46"/>
        <v>-23.799295530689335</v>
      </c>
      <c r="AE39" s="170">
        <f t="shared" ca="1" si="47"/>
        <v>-26.328748342719337</v>
      </c>
      <c r="AF39" s="170">
        <f t="shared" ca="1" si="48"/>
        <v>-23.873167638986388</v>
      </c>
      <c r="AG39" s="170">
        <f t="shared" ca="1" si="49"/>
        <v>-35.897477921760469</v>
      </c>
      <c r="AH39" s="170">
        <f t="shared" ca="1" si="50"/>
        <v>-54.059107738007924</v>
      </c>
      <c r="AI39" s="170">
        <f t="shared" ca="1" si="51"/>
        <v>-63.500657928953046</v>
      </c>
      <c r="AJ39" s="170">
        <f t="shared" ca="1" si="52"/>
        <v>-87.810745537282173</v>
      </c>
      <c r="AK39" s="170">
        <f t="shared" ca="1" si="53"/>
        <v>-92.134185968437805</v>
      </c>
      <c r="AL39" s="170">
        <f t="shared" ca="1" si="54"/>
        <v>-103.54604226890115</v>
      </c>
      <c r="AM39" s="170">
        <f t="shared" ca="1" si="55"/>
        <v>-90.875571920567609</v>
      </c>
      <c r="AN39" s="170">
        <f t="shared" ca="1" si="56"/>
        <v>-100.49366455562381</v>
      </c>
      <c r="AO39" s="170">
        <f t="shared" ca="1" si="57"/>
        <v>-113.32064566521967</v>
      </c>
      <c r="AP39" s="170">
        <f t="shared" ca="1" si="58"/>
        <v>-113.55958248249908</v>
      </c>
      <c r="AQ39" s="170">
        <f t="shared" ca="1" si="59"/>
        <v>-119.66977269237532</v>
      </c>
      <c r="AR39" s="170">
        <f t="shared" ca="1" si="60"/>
        <v>-95.557778187501299</v>
      </c>
      <c r="AS39" s="170">
        <f t="shared" ca="1" si="61"/>
        <v>-77.520268340225357</v>
      </c>
      <c r="AT39" s="170">
        <f t="shared" ca="1" si="62"/>
        <v>-109.2594648121858</v>
      </c>
      <c r="AU39" s="170">
        <f t="shared" ca="1" si="63"/>
        <v>-112.39789361053363</v>
      </c>
      <c r="AV39" s="170">
        <f t="shared" ca="1" si="64"/>
        <v>-120.88075325451609</v>
      </c>
      <c r="AW39" s="170">
        <f t="shared" ca="1" si="65"/>
        <v>-124.82789317892093</v>
      </c>
      <c r="AX39" s="170">
        <f t="shared" ca="1" si="66"/>
        <v>-140.6425461049339</v>
      </c>
      <c r="AZ39" s="176"/>
      <c r="BC39" s="176"/>
      <c r="BD39" s="177"/>
      <c r="BE39" s="177"/>
    </row>
    <row r="40" spans="1:60" ht="12" customHeight="1">
      <c r="A40" s="162"/>
      <c r="B40" s="168" t="str">
        <f t="shared" ca="1" si="67"/>
        <v>Ode Kolonne</v>
      </c>
      <c r="C40" s="175">
        <f t="shared" ref="C40:D40" ca="1" si="72">IF($AC6&lt;&gt;"",C25*$AC6,"")</f>
        <v>151.67335210515824</v>
      </c>
      <c r="D40" s="175">
        <f t="shared" ca="1" si="72"/>
        <v>348.17934223905536</v>
      </c>
      <c r="E40" s="175">
        <f t="shared" ref="E40:Y40" ca="1" si="73">IF($AC6&lt;&gt;"",E25*$AC6,"")</f>
        <v>530.9115480177727</v>
      </c>
      <c r="F40" s="175">
        <f t="shared" ca="1" si="73"/>
        <v>711.80724921579952</v>
      </c>
      <c r="G40" s="175">
        <f t="shared" ca="1" si="73"/>
        <v>846.79033589656058</v>
      </c>
      <c r="H40" s="175">
        <f t="shared" ca="1" si="73"/>
        <v>986.36468402904825</v>
      </c>
      <c r="I40" s="175">
        <f t="shared" ca="1" si="73"/>
        <v>1127.7755367422267</v>
      </c>
      <c r="J40" s="175">
        <f t="shared" ca="1" si="73"/>
        <v>1243.4753253257361</v>
      </c>
      <c r="K40" s="175">
        <f t="shared" ca="1" si="73"/>
        <v>1362.8481230706268</v>
      </c>
      <c r="L40" s="175">
        <f t="shared" ca="1" si="73"/>
        <v>1485.893929976899</v>
      </c>
      <c r="M40" s="175">
        <f t="shared" ca="1" si="73"/>
        <v>1559.3541132045241</v>
      </c>
      <c r="N40" s="175">
        <f t="shared" ca="1" si="73"/>
        <v>1662.1983697231992</v>
      </c>
      <c r="O40" s="175">
        <f t="shared" ca="1" si="73"/>
        <v>1768.7156354032554</v>
      </c>
      <c r="P40" s="175">
        <f t="shared" ca="1" si="73"/>
        <v>1934.001047665412</v>
      </c>
      <c r="Q40" s="175">
        <f t="shared" ca="1" si="73"/>
        <v>2037.7635564744323</v>
      </c>
      <c r="R40" s="175">
        <f t="shared" ca="1" si="73"/>
        <v>2122.242767186201</v>
      </c>
      <c r="S40" s="175">
        <f t="shared" ca="1" si="73"/>
        <v>2177.3379046069199</v>
      </c>
      <c r="T40" s="175">
        <f t="shared" ca="1" si="73"/>
        <v>2260.8988630283438</v>
      </c>
      <c r="U40" s="175">
        <f t="shared" ca="1" si="73"/>
        <v>2428.939032161536</v>
      </c>
      <c r="V40" s="175">
        <f t="shared" ca="1" si="73"/>
        <v>2494.1349447760531</v>
      </c>
      <c r="W40" s="175">
        <f t="shared" ca="1" si="73"/>
        <v>2656.6656001671736</v>
      </c>
      <c r="X40" s="175">
        <f t="shared" ca="1" si="73"/>
        <v>2823.787517010021</v>
      </c>
      <c r="Y40" s="175">
        <f t="shared" ca="1" si="73"/>
        <v>0</v>
      </c>
      <c r="Z40" s="159"/>
      <c r="AA40" s="159"/>
      <c r="AB40" s="169" t="str">
        <f t="shared" ca="1" si="45"/>
        <v>Ode Kolonne</v>
      </c>
      <c r="AC40" s="170">
        <f t="shared" ca="1" si="46"/>
        <v>16.336522767517721</v>
      </c>
      <c r="AD40" s="170">
        <f t="shared" ca="1" si="46"/>
        <v>27.184976326520712</v>
      </c>
      <c r="AE40" s="170">
        <f t="shared" ca="1" si="47"/>
        <v>54.308009013487776</v>
      </c>
      <c r="AF40" s="170">
        <f t="shared" ca="1" si="48"/>
        <v>57.243906299862829</v>
      </c>
      <c r="AG40" s="170">
        <f t="shared" ca="1" si="49"/>
        <v>70.86002535519242</v>
      </c>
      <c r="AH40" s="170">
        <f t="shared" ca="1" si="50"/>
        <v>83.841275139964182</v>
      </c>
      <c r="AI40" s="170">
        <f t="shared" ca="1" si="51"/>
        <v>90.06652171814153</v>
      </c>
      <c r="AJ40" s="170">
        <f t="shared" ca="1" si="52"/>
        <v>40.221956959056115</v>
      </c>
      <c r="AK40" s="170">
        <f t="shared" ca="1" si="53"/>
        <v>13.125859727336547</v>
      </c>
      <c r="AL40" s="170">
        <f t="shared" ca="1" si="54"/>
        <v>-16.474455401120395</v>
      </c>
      <c r="AM40" s="170">
        <f t="shared" ca="1" si="55"/>
        <v>-52.443102524462347</v>
      </c>
      <c r="AN40" s="170">
        <f t="shared" ca="1" si="56"/>
        <v>-84.960994584899481</v>
      </c>
      <c r="AO40" s="170">
        <f t="shared" ca="1" si="57"/>
        <v>-91.501479245208202</v>
      </c>
      <c r="AP40" s="170">
        <f t="shared" ca="1" si="58"/>
        <v>-92.291367436694827</v>
      </c>
      <c r="AQ40" s="170">
        <f t="shared" ca="1" si="59"/>
        <v>-90.313874012375891</v>
      </c>
      <c r="AR40" s="170">
        <f t="shared" ca="1" si="60"/>
        <v>-94.710081383145734</v>
      </c>
      <c r="AS40" s="170">
        <f t="shared" ca="1" si="61"/>
        <v>-130.92009145780821</v>
      </c>
      <c r="AT40" s="170">
        <f t="shared" ca="1" si="62"/>
        <v>-188.44098685100198</v>
      </c>
      <c r="AU40" s="170">
        <f t="shared" ca="1" si="63"/>
        <v>-172.06302273993379</v>
      </c>
      <c r="AV40" s="170">
        <f t="shared" ca="1" si="64"/>
        <v>-198.26815158758109</v>
      </c>
      <c r="AW40" s="170">
        <f t="shared" ca="1" si="65"/>
        <v>-186.38603472226396</v>
      </c>
      <c r="AX40" s="170">
        <f t="shared" ca="1" si="66"/>
        <v>-252.85289667955567</v>
      </c>
      <c r="AZ40" s="176"/>
      <c r="BC40" s="176"/>
      <c r="BD40" s="177"/>
      <c r="BE40" s="177"/>
    </row>
    <row r="41" spans="1:60" ht="12" customHeight="1">
      <c r="A41" s="162"/>
      <c r="B41" s="168" t="str">
        <f t="shared" ca="1" si="67"/>
        <v>Special Victims Unit</v>
      </c>
      <c r="C41" s="175">
        <f t="shared" ref="C41:D41" ca="1" si="74">IF($AC7&lt;&gt;"",C26*$AC7,"")</f>
        <v>156.1581560035672</v>
      </c>
      <c r="D41" s="175">
        <f t="shared" ca="1" si="74"/>
        <v>366.10198453276161</v>
      </c>
      <c r="E41" s="291">
        <f t="shared" ref="E41:Y41" ca="1" si="75">IF($AC7&lt;&gt;"",E26*$AC7,"")</f>
        <v>549.08055068205954</v>
      </c>
      <c r="F41" s="175">
        <f t="shared" ca="1" si="75"/>
        <v>742.65261276631668</v>
      </c>
      <c r="G41" s="291">
        <f t="shared" ca="1" si="75"/>
        <v>885.18328534576983</v>
      </c>
      <c r="H41" s="291">
        <f t="shared" ca="1" si="75"/>
        <v>1050.8270399651342</v>
      </c>
      <c r="I41" s="291">
        <f t="shared" ca="1" si="75"/>
        <v>1212.6186142445133</v>
      </c>
      <c r="J41" s="291">
        <f t="shared" ca="1" si="75"/>
        <v>1392.7080451388224</v>
      </c>
      <c r="K41" s="291">
        <f t="shared" ca="1" si="75"/>
        <v>1558.3517997581866</v>
      </c>
      <c r="L41" s="291">
        <f t="shared" ca="1" si="75"/>
        <v>1751.923861842444</v>
      </c>
      <c r="M41" s="291">
        <f t="shared" ca="1" si="75"/>
        <v>1872.304497466982</v>
      </c>
      <c r="N41" s="291">
        <f t="shared" ca="1" si="75"/>
        <v>2028.3178012363835</v>
      </c>
      <c r="O41" s="291">
        <f t="shared" ca="1" si="75"/>
        <v>2175.663699240818</v>
      </c>
      <c r="P41" s="291">
        <f t="shared" ca="1" si="75"/>
        <v>2373.0879416650605</v>
      </c>
      <c r="Q41" s="291">
        <f t="shared" ca="1" si="75"/>
        <v>2489.6163969496133</v>
      </c>
      <c r="R41" s="291">
        <f t="shared" ca="1" si="75"/>
        <v>2577.2534996842774</v>
      </c>
      <c r="S41" s="291">
        <f t="shared" ca="1" si="75"/>
        <v>2686.0775942888595</v>
      </c>
      <c r="T41" s="291">
        <f t="shared" ca="1" si="75"/>
        <v>2871.9452956931464</v>
      </c>
      <c r="U41" s="291">
        <f t="shared" ca="1" si="75"/>
        <v>3046.2564560774777</v>
      </c>
      <c r="V41" s="291">
        <f t="shared" ca="1" si="75"/>
        <v>3170.4892720420007</v>
      </c>
      <c r="W41" s="291">
        <f t="shared" ca="1" si="75"/>
        <v>3343.8373873413357</v>
      </c>
      <c r="X41" s="291">
        <f t="shared" ca="1" si="75"/>
        <v>3639.492228435201</v>
      </c>
      <c r="Y41" s="175">
        <f t="shared" ca="1" si="75"/>
        <v>0</v>
      </c>
      <c r="Z41" s="159"/>
      <c r="AA41" s="159"/>
      <c r="AB41" s="169" t="str">
        <f t="shared" ref="AB41" ca="1" si="76">B41</f>
        <v>Special Victims Unit</v>
      </c>
      <c r="AC41" s="170">
        <f t="shared" ref="AC41" ca="1" si="77">C41-AC$48</f>
        <v>20.821326665926676</v>
      </c>
      <c r="AD41" s="170">
        <f t="shared" ref="AD41" ca="1" si="78">D41-AD$48</f>
        <v>45.107618620226958</v>
      </c>
      <c r="AE41" s="170">
        <f t="shared" ref="AE41" ca="1" si="79">E41-AE$48</f>
        <v>72.477011677774613</v>
      </c>
      <c r="AF41" s="170">
        <f t="shared" ref="AF41" ca="1" si="80">F41-AF$48</f>
        <v>88.089269850379992</v>
      </c>
      <c r="AG41" s="170">
        <f t="shared" ref="AG41" ca="1" si="81">G41-AG$48</f>
        <v>109.25297480440167</v>
      </c>
      <c r="AH41" s="170">
        <f t="shared" ref="AH41" ca="1" si="82">H41-AH$48</f>
        <v>148.30363107605012</v>
      </c>
      <c r="AI41" s="170">
        <f t="shared" ref="AI41" ca="1" si="83">I41-AI$48</f>
        <v>174.90959922042816</v>
      </c>
      <c r="AJ41" s="170">
        <f t="shared" ref="AJ41" ca="1" si="84">J41-AJ$48</f>
        <v>189.45467677214242</v>
      </c>
      <c r="AK41" s="170">
        <f t="shared" ref="AK41" ca="1" si="85">K41-AK$48</f>
        <v>208.62953641489639</v>
      </c>
      <c r="AL41" s="170">
        <f t="shared" ref="AL41" ca="1" si="86">L41-AL$48</f>
        <v>249.5554764644246</v>
      </c>
      <c r="AM41" s="170">
        <f t="shared" ref="AM41" ca="1" si="87">M41-AM$48</f>
        <v>260.50728173799553</v>
      </c>
      <c r="AN41" s="170">
        <f t="shared" ref="AN41" ca="1" si="88">N41-AN$48</f>
        <v>281.1584369282848</v>
      </c>
      <c r="AO41" s="170">
        <f t="shared" ref="AO41" ca="1" si="89">O41-AO$48</f>
        <v>315.44658459235438</v>
      </c>
      <c r="AP41" s="170">
        <f t="shared" ref="AP41" ca="1" si="90">P41-AP$48</f>
        <v>346.79552656295368</v>
      </c>
      <c r="AQ41" s="170">
        <f t="shared" ref="AQ41" ca="1" si="91">Q41-AQ$48</f>
        <v>361.53896646280509</v>
      </c>
      <c r="AR41" s="170">
        <f t="shared" ref="AR41" ca="1" si="92">R41-AR$48</f>
        <v>360.30065111493059</v>
      </c>
      <c r="AS41" s="170">
        <f t="shared" ref="AS41" ca="1" si="93">S41-AS$48</f>
        <v>377.81959822413137</v>
      </c>
      <c r="AT41" s="170">
        <f t="shared" ref="AT41" ca="1" si="94">T41-AT$48</f>
        <v>422.60544581380054</v>
      </c>
      <c r="AU41" s="170">
        <f t="shared" ref="AU41" ca="1" si="95">U41-AU$48</f>
        <v>445.25440117600783</v>
      </c>
      <c r="AV41" s="170">
        <f t="shared" ref="AV41" ca="1" si="96">V41-AV$48</f>
        <v>478.08617567836654</v>
      </c>
      <c r="AW41" s="170">
        <f t="shared" ref="AW41" ca="1" si="97">W41-AW$48</f>
        <v>500.78575245189813</v>
      </c>
      <c r="AX41" s="170">
        <f t="shared" ref="AX41" ca="1" si="98">X41-AX$48</f>
        <v>562.85181474562432</v>
      </c>
      <c r="AZ41" s="176"/>
      <c r="BC41" s="176"/>
      <c r="BD41" s="177"/>
      <c r="BE41" s="177"/>
    </row>
    <row r="42" spans="1:60" ht="12" customHeight="1">
      <c r="A42" s="162"/>
      <c r="B42" s="168" t="str">
        <f t="shared" ca="1" si="67"/>
        <v>IJffjes Boys</v>
      </c>
      <c r="C42" s="291">
        <f t="shared" ref="C42:D42" ca="1" si="99">IF($AC8&lt;&gt;"",C27*$AC8,"")</f>
        <v>169.97702377715194</v>
      </c>
      <c r="D42" s="291">
        <f t="shared" ca="1" si="99"/>
        <v>391.35109233154839</v>
      </c>
      <c r="E42" s="175">
        <f t="shared" ref="E42:Y42" ca="1" si="100">IF($AC8&lt;&gt;"",E27*$AC8,"")</f>
        <v>516.60221006627273</v>
      </c>
      <c r="F42" s="175">
        <f t="shared" ca="1" si="100"/>
        <v>695.25496714525923</v>
      </c>
      <c r="G42" s="175">
        <f t="shared" ca="1" si="100"/>
        <v>776.81383450740532</v>
      </c>
      <c r="H42" s="175">
        <f t="shared" ca="1" si="100"/>
        <v>857.40176297238293</v>
      </c>
      <c r="I42" s="175">
        <f t="shared" ca="1" si="100"/>
        <v>951.58283599771835</v>
      </c>
      <c r="J42" s="175">
        <f t="shared" ca="1" si="100"/>
        <v>1107.9039984418316</v>
      </c>
      <c r="K42" s="175">
        <f t="shared" ca="1" si="100"/>
        <v>1261.3123441944397</v>
      </c>
      <c r="L42" s="175">
        <f t="shared" ca="1" si="100"/>
        <v>1402.0984842838584</v>
      </c>
      <c r="M42" s="175">
        <f t="shared" ca="1" si="100"/>
        <v>1553.5649522421297</v>
      </c>
      <c r="N42" s="175">
        <f t="shared" ca="1" si="100"/>
        <v>1695.3220312287169</v>
      </c>
      <c r="O42" s="175">
        <f t="shared" ca="1" si="100"/>
        <v>1788.5321653568838</v>
      </c>
      <c r="P42" s="175">
        <f t="shared" ca="1" si="100"/>
        <v>1928.3473665491342</v>
      </c>
      <c r="Q42" s="175">
        <f t="shared" ca="1" si="100"/>
        <v>2039.0344008263323</v>
      </c>
      <c r="R42" s="175">
        <f t="shared" ca="1" si="100"/>
        <v>2117.6804514969731</v>
      </c>
      <c r="S42" s="175">
        <f t="shared" ca="1" si="100"/>
        <v>2219.629035699656</v>
      </c>
      <c r="T42" s="175">
        <f t="shared" ca="1" si="100"/>
        <v>2377.8920759381058</v>
      </c>
      <c r="U42" s="175">
        <f t="shared" ca="1" si="100"/>
        <v>2496.3466213926513</v>
      </c>
      <c r="V42" s="175">
        <f t="shared" ca="1" si="100"/>
        <v>2569.1670386802816</v>
      </c>
      <c r="W42" s="175">
        <f t="shared" ca="1" si="100"/>
        <v>2715.778812152711</v>
      </c>
      <c r="X42" s="175">
        <f t="shared" ca="1" si="100"/>
        <v>2962.3972920334859</v>
      </c>
      <c r="Y42" s="175">
        <f t="shared" ca="1" si="100"/>
        <v>0</v>
      </c>
      <c r="Z42" s="159"/>
      <c r="AA42" s="159"/>
      <c r="AB42" s="169" t="str">
        <f t="shared" ca="1" si="45"/>
        <v>IJffjes Boys</v>
      </c>
      <c r="AC42" s="170">
        <f t="shared" ca="1" si="46"/>
        <v>34.640194439511419</v>
      </c>
      <c r="AD42" s="170">
        <f t="shared" ca="1" si="46"/>
        <v>70.356726419013739</v>
      </c>
      <c r="AE42" s="170">
        <f t="shared" ca="1" si="47"/>
        <v>39.998671061987807</v>
      </c>
      <c r="AF42" s="170">
        <f t="shared" ca="1" si="48"/>
        <v>40.691624229322542</v>
      </c>
      <c r="AG42" s="170">
        <f t="shared" ca="1" si="49"/>
        <v>0.88352396603715988</v>
      </c>
      <c r="AH42" s="170">
        <f t="shared" ca="1" si="50"/>
        <v>-45.121645916701141</v>
      </c>
      <c r="AI42" s="170">
        <f t="shared" ca="1" si="51"/>
        <v>-86.126179026366799</v>
      </c>
      <c r="AJ42" s="170">
        <f t="shared" ca="1" si="52"/>
        <v>-95.349369924848361</v>
      </c>
      <c r="AK42" s="170">
        <f t="shared" ca="1" si="53"/>
        <v>-88.409919148850577</v>
      </c>
      <c r="AL42" s="170">
        <f t="shared" ca="1" si="54"/>
        <v>-100.26990109416101</v>
      </c>
      <c r="AM42" s="170">
        <f t="shared" ca="1" si="55"/>
        <v>-58.232263486856709</v>
      </c>
      <c r="AN42" s="170">
        <f t="shared" ca="1" si="56"/>
        <v>-51.837333079381779</v>
      </c>
      <c r="AO42" s="170">
        <f t="shared" ca="1" si="57"/>
        <v>-71.684949291579869</v>
      </c>
      <c r="AP42" s="170">
        <f t="shared" ca="1" si="58"/>
        <v>-97.945048552972594</v>
      </c>
      <c r="AQ42" s="170">
        <f t="shared" ca="1" si="59"/>
        <v>-89.043029660475895</v>
      </c>
      <c r="AR42" s="170">
        <f t="shared" ca="1" si="60"/>
        <v>-99.272397072373678</v>
      </c>
      <c r="AS42" s="170">
        <f t="shared" ca="1" si="61"/>
        <v>-88.628960365072089</v>
      </c>
      <c r="AT42" s="170">
        <f t="shared" ca="1" si="62"/>
        <v>-71.44777394124003</v>
      </c>
      <c r="AU42" s="170">
        <f t="shared" ca="1" si="63"/>
        <v>-104.65543350881853</v>
      </c>
      <c r="AV42" s="170">
        <f t="shared" ca="1" si="64"/>
        <v>-123.23605768335256</v>
      </c>
      <c r="AW42" s="170">
        <f t="shared" ca="1" si="65"/>
        <v>-127.27282273672654</v>
      </c>
      <c r="AX42" s="170">
        <f t="shared" ca="1" si="66"/>
        <v>-114.24312165609081</v>
      </c>
      <c r="AZ42" s="176"/>
      <c r="BC42" s="176"/>
      <c r="BD42" s="177"/>
      <c r="BE42" s="177"/>
    </row>
    <row r="43" spans="1:60" ht="12" customHeight="1">
      <c r="A43" s="162"/>
      <c r="B43" s="168" t="str">
        <f t="shared" ca="1" si="67"/>
        <v>El Gran</v>
      </c>
      <c r="C43" s="175">
        <f t="shared" ref="C43:D43" ca="1" si="101">IF($AC9&lt;&gt;"",C28*$AC9,"")</f>
        <v>152.19381001593945</v>
      </c>
      <c r="D43" s="175">
        <f t="shared" ca="1" si="101"/>
        <v>364.59506393443473</v>
      </c>
      <c r="E43" s="175">
        <f t="shared" ref="E43:Y43" ca="1" si="102">IF($AC9&lt;&gt;"",E28*$AC9,"")</f>
        <v>516.74788525104918</v>
      </c>
      <c r="F43" s="291">
        <f t="shared" ca="1" si="102"/>
        <v>748.55117678709928</v>
      </c>
      <c r="G43" s="175">
        <f t="shared" ca="1" si="102"/>
        <v>841.47672537644098</v>
      </c>
      <c r="H43" s="175">
        <f t="shared" ca="1" si="102"/>
        <v>936.44459371499897</v>
      </c>
      <c r="I43" s="175">
        <f t="shared" ca="1" si="102"/>
        <v>1063.0684181664096</v>
      </c>
      <c r="J43" s="175">
        <f t="shared" ca="1" si="102"/>
        <v>1214.200079608416</v>
      </c>
      <c r="K43" s="175">
        <f t="shared" ca="1" si="102"/>
        <v>1323.4641861914879</v>
      </c>
      <c r="L43" s="175">
        <f t="shared" ca="1" si="102"/>
        <v>1472.5535278842781</v>
      </c>
      <c r="M43" s="175">
        <f t="shared" ca="1" si="102"/>
        <v>1556.2886376021463</v>
      </c>
      <c r="N43" s="175">
        <f t="shared" ca="1" si="102"/>
        <v>1647.1718664422717</v>
      </c>
      <c r="O43" s="175">
        <f t="shared" ca="1" si="102"/>
        <v>1745.2032144046541</v>
      </c>
      <c r="P43" s="175">
        <f t="shared" ca="1" si="102"/>
        <v>1885.1021172259707</v>
      </c>
      <c r="Q43" s="175">
        <f t="shared" ca="1" si="102"/>
        <v>1968.8372269438391</v>
      </c>
      <c r="R43" s="175">
        <f t="shared" ca="1" si="102"/>
        <v>2036.233778667977</v>
      </c>
      <c r="S43" s="175">
        <f t="shared" ca="1" si="102"/>
        <v>2123.0323680096699</v>
      </c>
      <c r="T43" s="175">
        <f t="shared" ca="1" si="102"/>
        <v>2258.8466313325539</v>
      </c>
      <c r="U43" s="175">
        <f t="shared" ca="1" si="102"/>
        <v>2393.6397347808302</v>
      </c>
      <c r="V43" s="175">
        <f t="shared" ca="1" si="102"/>
        <v>2484.5229636209551</v>
      </c>
      <c r="W43" s="175">
        <f t="shared" ca="1" si="102"/>
        <v>2614.2102676961904</v>
      </c>
      <c r="X43" s="175">
        <f t="shared" ca="1" si="102"/>
        <v>2801.0825247494822</v>
      </c>
      <c r="Y43" s="175">
        <f t="shared" ca="1" si="102"/>
        <v>0</v>
      </c>
      <c r="Z43" s="159"/>
      <c r="AA43" s="159"/>
      <c r="AB43" s="169" t="str">
        <f t="shared" ca="1" si="45"/>
        <v>El Gran</v>
      </c>
      <c r="AC43" s="170">
        <f t="shared" ca="1" si="46"/>
        <v>16.856980678298925</v>
      </c>
      <c r="AD43" s="170">
        <f t="shared" ca="1" si="46"/>
        <v>43.600698021900087</v>
      </c>
      <c r="AE43" s="170">
        <f t="shared" ca="1" si="47"/>
        <v>40.144346246764258</v>
      </c>
      <c r="AF43" s="170">
        <f t="shared" ca="1" si="48"/>
        <v>93.987833871162593</v>
      </c>
      <c r="AG43" s="170">
        <f t="shared" ca="1" si="49"/>
        <v>65.546414835072824</v>
      </c>
      <c r="AH43" s="170">
        <f t="shared" ca="1" si="50"/>
        <v>33.921184825914906</v>
      </c>
      <c r="AI43" s="170">
        <f t="shared" ca="1" si="51"/>
        <v>25.359403142324481</v>
      </c>
      <c r="AJ43" s="170">
        <f t="shared" ca="1" si="52"/>
        <v>10.946711241736011</v>
      </c>
      <c r="AK43" s="170">
        <f t="shared" ca="1" si="53"/>
        <v>-26.258077151802354</v>
      </c>
      <c r="AL43" s="170">
        <f t="shared" ca="1" si="54"/>
        <v>-29.814857493741329</v>
      </c>
      <c r="AM43" s="170">
        <f t="shared" ca="1" si="55"/>
        <v>-55.508578126840121</v>
      </c>
      <c r="AN43" s="170">
        <f t="shared" ca="1" si="56"/>
        <v>-99.987497865826981</v>
      </c>
      <c r="AO43" s="170">
        <f t="shared" ca="1" si="57"/>
        <v>-115.01390024380953</v>
      </c>
      <c r="AP43" s="170">
        <f t="shared" ca="1" si="58"/>
        <v>-141.19029787613613</v>
      </c>
      <c r="AQ43" s="170">
        <f t="shared" ca="1" si="59"/>
        <v>-159.24020354296908</v>
      </c>
      <c r="AR43" s="170">
        <f t="shared" ca="1" si="60"/>
        <v>-180.71906990136972</v>
      </c>
      <c r="AS43" s="170">
        <f t="shared" ca="1" si="61"/>
        <v>-185.22562805505822</v>
      </c>
      <c r="AT43" s="170">
        <f t="shared" ca="1" si="62"/>
        <v>-190.49321854679192</v>
      </c>
      <c r="AU43" s="170">
        <f t="shared" ca="1" si="63"/>
        <v>-207.36232012063965</v>
      </c>
      <c r="AV43" s="170">
        <f t="shared" ca="1" si="64"/>
        <v>-207.88013274267905</v>
      </c>
      <c r="AW43" s="170">
        <f t="shared" ca="1" si="65"/>
        <v>-228.84136719324715</v>
      </c>
      <c r="AX43" s="170">
        <f t="shared" ca="1" si="66"/>
        <v>-275.55788894009447</v>
      </c>
      <c r="AZ43" s="176"/>
      <c r="BC43" s="176"/>
      <c r="BD43" s="177"/>
      <c r="BE43" s="177"/>
    </row>
    <row r="44" spans="1:60" ht="12" customHeight="1">
      <c r="A44" s="162"/>
      <c r="B44" s="168" t="str">
        <f t="shared" ca="1" si="67"/>
        <v>Winner on Wheels</v>
      </c>
      <c r="C44" s="175">
        <f t="shared" ref="C44:D44" ca="1" si="103">IF($AC10&lt;&gt;"",C29*$AC10,"")</f>
        <v>93.424134562300438</v>
      </c>
      <c r="D44" s="175">
        <f t="shared" ca="1" si="103"/>
        <v>231.79581597822965</v>
      </c>
      <c r="E44" s="175">
        <f t="shared" ref="E44:Y44" ca="1" si="104">IF($AC10&lt;&gt;"",E29*$AC10,"")</f>
        <v>373.31230833542998</v>
      </c>
      <c r="F44" s="175">
        <f t="shared" ca="1" si="104"/>
        <v>503.29782724130285</v>
      </c>
      <c r="G44" s="175">
        <f t="shared" ca="1" si="104"/>
        <v>633.28334614717573</v>
      </c>
      <c r="H44" s="175">
        <f t="shared" ca="1" si="104"/>
        <v>783.18600101443246</v>
      </c>
      <c r="I44" s="175">
        <f t="shared" ca="1" si="104"/>
        <v>945.66789964677355</v>
      </c>
      <c r="J44" s="175">
        <f t="shared" ca="1" si="104"/>
        <v>1166.8529358495091</v>
      </c>
      <c r="K44" s="175">
        <f t="shared" ca="1" si="104"/>
        <v>1366.0242954633466</v>
      </c>
      <c r="L44" s="175">
        <f t="shared" ca="1" si="104"/>
        <v>1538.9888972332581</v>
      </c>
      <c r="M44" s="175">
        <f t="shared" ca="1" si="104"/>
        <v>1656.3951723740465</v>
      </c>
      <c r="N44" s="175">
        <f t="shared" ca="1" si="104"/>
        <v>1825.1666928889299</v>
      </c>
      <c r="O44" s="175">
        <f t="shared" ca="1" si="104"/>
        <v>1976.1176180699435</v>
      </c>
      <c r="P44" s="175">
        <f t="shared" ca="1" si="104"/>
        <v>2156.4201120361545</v>
      </c>
      <c r="Q44" s="175">
        <f t="shared" ca="1" si="104"/>
        <v>2267.5367652944005</v>
      </c>
      <c r="R44" s="175">
        <f t="shared" ca="1" si="104"/>
        <v>2378.6534185526466</v>
      </c>
      <c r="S44" s="175">
        <f t="shared" ca="1" si="104"/>
        <v>2465.6598545944807</v>
      </c>
      <c r="T44" s="175">
        <f t="shared" ca="1" si="104"/>
        <v>2609.2728875791954</v>
      </c>
      <c r="U44" s="175">
        <f t="shared" ca="1" si="104"/>
        <v>2758.127272132695</v>
      </c>
      <c r="V44" s="175">
        <f t="shared" ca="1" si="104"/>
        <v>2868.1956550771843</v>
      </c>
      <c r="W44" s="175">
        <f t="shared" ca="1" si="104"/>
        <v>3016.0017693169266</v>
      </c>
      <c r="X44" s="175">
        <f t="shared" ca="1" si="104"/>
        <v>3315.8070790514398</v>
      </c>
      <c r="Y44" s="175">
        <f t="shared" ca="1" si="104"/>
        <v>0</v>
      </c>
      <c r="Z44" s="159"/>
      <c r="AA44" s="159"/>
      <c r="AB44" s="169" t="str">
        <f ca="1">B44</f>
        <v>Winner on Wheels</v>
      </c>
      <c r="AC44" s="170">
        <f t="shared" ca="1" si="46"/>
        <v>-41.912694775340086</v>
      </c>
      <c r="AD44" s="170">
        <f t="shared" ca="1" si="46"/>
        <v>-89.198549934304992</v>
      </c>
      <c r="AE44" s="170">
        <f t="shared" ca="1" si="47"/>
        <v>-103.29123066885495</v>
      </c>
      <c r="AF44" s="170">
        <f t="shared" ca="1" si="48"/>
        <v>-151.26551567463383</v>
      </c>
      <c r="AG44" s="170">
        <f t="shared" ca="1" si="49"/>
        <v>-142.64696439419242</v>
      </c>
      <c r="AH44" s="170">
        <f t="shared" ca="1" si="50"/>
        <v>-119.3374078746516</v>
      </c>
      <c r="AI44" s="170">
        <f t="shared" ca="1" si="51"/>
        <v>-92.041115377311598</v>
      </c>
      <c r="AJ44" s="170">
        <f t="shared" ca="1" si="52"/>
        <v>-36.400432517170884</v>
      </c>
      <c r="AK44" s="170">
        <f t="shared" ca="1" si="53"/>
        <v>16.30203212005631</v>
      </c>
      <c r="AL44" s="170">
        <f t="shared" ca="1" si="54"/>
        <v>36.620511855238647</v>
      </c>
      <c r="AM44" s="170">
        <f t="shared" ca="1" si="55"/>
        <v>44.597956645060094</v>
      </c>
      <c r="AN44" s="170">
        <f t="shared" ca="1" si="56"/>
        <v>78.007328580831199</v>
      </c>
      <c r="AO44" s="170">
        <f t="shared" ca="1" si="57"/>
        <v>115.90050342147993</v>
      </c>
      <c r="AP44" s="170">
        <f t="shared" ca="1" si="58"/>
        <v>130.12769693404766</v>
      </c>
      <c r="AQ44" s="170">
        <f t="shared" ca="1" si="59"/>
        <v>139.45933480759231</v>
      </c>
      <c r="AR44" s="170">
        <f t="shared" ca="1" si="60"/>
        <v>161.70056998329983</v>
      </c>
      <c r="AS44" s="170">
        <f t="shared" ca="1" si="61"/>
        <v>157.40185852975264</v>
      </c>
      <c r="AT44" s="170">
        <f t="shared" ca="1" si="62"/>
        <v>159.93303769984959</v>
      </c>
      <c r="AU44" s="170">
        <f t="shared" ca="1" si="63"/>
        <v>157.12521723122518</v>
      </c>
      <c r="AV44" s="170">
        <f t="shared" ca="1" si="64"/>
        <v>175.79255871355008</v>
      </c>
      <c r="AW44" s="170">
        <f t="shared" ca="1" si="65"/>
        <v>172.95013442748905</v>
      </c>
      <c r="AX44" s="170">
        <f t="shared" ca="1" si="66"/>
        <v>239.16666536186312</v>
      </c>
      <c r="AZ44" s="176"/>
      <c r="BC44" s="176"/>
      <c r="BD44" s="177"/>
      <c r="BE44" s="177"/>
    </row>
    <row r="45" spans="1:60" ht="12" customHeight="1">
      <c r="A45" s="162"/>
      <c r="B45" s="168" t="str">
        <f t="shared" ca="1" si="67"/>
        <v>Ami</v>
      </c>
      <c r="C45" s="175">
        <f t="shared" ref="C45:D45" ca="1" si="105">IF($AC11&lt;&gt;"",C30*$AC11,"")</f>
        <v>100.75746536127492</v>
      </c>
      <c r="D45" s="175">
        <f t="shared" ca="1" si="105"/>
        <v>284.20477026875682</v>
      </c>
      <c r="E45" s="175">
        <f t="shared" ref="E45:Y45" ca="1" si="106">IF($AC11&lt;&gt;"",E30*$AC11,"")</f>
        <v>413.14201886087272</v>
      </c>
      <c r="F45" s="175">
        <f t="shared" ca="1" si="106"/>
        <v>588.20316125829834</v>
      </c>
      <c r="G45" s="175">
        <f t="shared" ca="1" si="106"/>
        <v>709.80251765411492</v>
      </c>
      <c r="H45" s="175">
        <f t="shared" ca="1" si="106"/>
        <v>833.49841467744557</v>
      </c>
      <c r="I45" s="175">
        <f t="shared" ca="1" si="106"/>
        <v>953.00123044574809</v>
      </c>
      <c r="J45" s="175">
        <f t="shared" ca="1" si="106"/>
        <v>1143.7864275495292</v>
      </c>
      <c r="K45" s="175">
        <f t="shared" ca="1" si="106"/>
        <v>1287.3994605342434</v>
      </c>
      <c r="L45" s="175">
        <f t="shared" ca="1" si="106"/>
        <v>1435.2055747739862</v>
      </c>
      <c r="M45" s="175">
        <f t="shared" ca="1" si="106"/>
        <v>1543.1774170909612</v>
      </c>
      <c r="N45" s="175">
        <f t="shared" ca="1" si="106"/>
        <v>1730.8178032534713</v>
      </c>
      <c r="O45" s="175">
        <f t="shared" ca="1" si="106"/>
        <v>1848.2240783942595</v>
      </c>
      <c r="P45" s="175">
        <f t="shared" ca="1" si="106"/>
        <v>2037.9610051842837</v>
      </c>
      <c r="Q45" s="175">
        <f t="shared" ca="1" si="106"/>
        <v>2137.5466849912027</v>
      </c>
      <c r="R45" s="175">
        <f t="shared" ca="1" si="106"/>
        <v>2227.6979319743077</v>
      </c>
      <c r="S45" s="175">
        <f t="shared" ca="1" si="106"/>
        <v>2310.5112867611142</v>
      </c>
      <c r="T45" s="175">
        <f t="shared" ca="1" si="106"/>
        <v>2480.3310775897544</v>
      </c>
      <c r="U45" s="175">
        <f t="shared" ca="1" si="106"/>
        <v>2624.9923808882259</v>
      </c>
      <c r="V45" s="175">
        <f t="shared" ca="1" si="106"/>
        <v>2722.4815200676308</v>
      </c>
      <c r="W45" s="175">
        <f t="shared" ca="1" si="106"/>
        <v>2879.7220671311866</v>
      </c>
      <c r="X45" s="175">
        <f t="shared" ca="1" si="106"/>
        <v>3155.4171596492879</v>
      </c>
      <c r="Y45" s="175">
        <f t="shared" ca="1" si="106"/>
        <v>0</v>
      </c>
      <c r="Z45" s="159"/>
      <c r="AA45" s="159"/>
      <c r="AB45" s="169" t="str">
        <f ca="1">B45</f>
        <v>Ami</v>
      </c>
      <c r="AC45" s="170">
        <f t="shared" ca="1" si="46"/>
        <v>-34.579363976365599</v>
      </c>
      <c r="AD45" s="170">
        <f t="shared" ca="1" si="46"/>
        <v>-36.78959564377783</v>
      </c>
      <c r="AE45" s="170">
        <f t="shared" ca="1" si="47"/>
        <v>-63.461520143412201</v>
      </c>
      <c r="AF45" s="170">
        <f t="shared" ca="1" si="48"/>
        <v>-66.36018165763835</v>
      </c>
      <c r="AG45" s="170">
        <f t="shared" ca="1" si="49"/>
        <v>-66.127792887253236</v>
      </c>
      <c r="AH45" s="170">
        <f t="shared" ca="1" si="50"/>
        <v>-69.0249942116385</v>
      </c>
      <c r="AI45" s="170">
        <f t="shared" ca="1" si="51"/>
        <v>-84.707784578337055</v>
      </c>
      <c r="AJ45" s="170">
        <f t="shared" ca="1" si="52"/>
        <v>-59.466940817150771</v>
      </c>
      <c r="AK45" s="170">
        <f t="shared" ca="1" si="53"/>
        <v>-62.322802809046834</v>
      </c>
      <c r="AL45" s="170">
        <f t="shared" ca="1" si="54"/>
        <v>-67.162810604033211</v>
      </c>
      <c r="AM45" s="170">
        <f t="shared" ca="1" si="55"/>
        <v>-68.619798638025259</v>
      </c>
      <c r="AN45" s="170">
        <f t="shared" ca="1" si="56"/>
        <v>-16.341561054627391</v>
      </c>
      <c r="AO45" s="170">
        <f t="shared" ca="1" si="57"/>
        <v>-11.993036254204071</v>
      </c>
      <c r="AP45" s="170">
        <f t="shared" ca="1" si="58"/>
        <v>11.668590082176934</v>
      </c>
      <c r="AQ45" s="170">
        <f t="shared" ca="1" si="59"/>
        <v>9.4692545043944847</v>
      </c>
      <c r="AR45" s="170">
        <f t="shared" ca="1" si="60"/>
        <v>10.745083404960951</v>
      </c>
      <c r="AS45" s="170">
        <f t="shared" ca="1" si="61"/>
        <v>2.2532906963861024</v>
      </c>
      <c r="AT45" s="170">
        <f t="shared" ca="1" si="62"/>
        <v>30.991227710408566</v>
      </c>
      <c r="AU45" s="170">
        <f t="shared" ca="1" si="63"/>
        <v>23.990325986756034</v>
      </c>
      <c r="AV45" s="170">
        <f t="shared" ca="1" si="64"/>
        <v>30.078423703996577</v>
      </c>
      <c r="AW45" s="170">
        <f t="shared" ca="1" si="65"/>
        <v>36.67043224174904</v>
      </c>
      <c r="AX45" s="170">
        <f t="shared" ca="1" si="66"/>
        <v>78.776745959711207</v>
      </c>
      <c r="AZ45" s="176"/>
      <c r="BC45" s="176"/>
      <c r="BD45" s="177"/>
      <c r="BE45" s="177"/>
    </row>
    <row r="46" spans="1:60" ht="12" customHeight="1">
      <c r="A46" s="162"/>
      <c r="B46" s="168" t="str">
        <f t="shared" ca="1" si="67"/>
        <v>Mahawong</v>
      </c>
      <c r="C46" s="175">
        <f t="shared" ref="C46:D46" ca="1" si="107">IF($AC12&lt;&gt;"",C31*$AC12,"")</f>
        <v>132.91951947402694</v>
      </c>
      <c r="D46" s="175">
        <f t="shared" ca="1" si="107"/>
        <v>268.12521277062933</v>
      </c>
      <c r="E46" s="175">
        <f t="shared" ref="E46:Y46" ca="1" si="108">IF($AC12&lt;&gt;"",E31*$AC12,"")</f>
        <v>430.85064895061095</v>
      </c>
      <c r="F46" s="175">
        <f t="shared" ca="1" si="108"/>
        <v>569.64587392765407</v>
      </c>
      <c r="G46" s="175">
        <f t="shared" ca="1" si="108"/>
        <v>703.65505666410957</v>
      </c>
      <c r="H46" s="175">
        <f t="shared" ca="1" si="108"/>
        <v>849.62934500203426</v>
      </c>
      <c r="I46" s="175">
        <f t="shared" ca="1" si="108"/>
        <v>971.67342213702045</v>
      </c>
      <c r="J46" s="175">
        <f t="shared" ca="1" si="108"/>
        <v>1140.3814111177367</v>
      </c>
      <c r="K46" s="175">
        <f t="shared" ca="1" si="108"/>
        <v>1260.0324671324292</v>
      </c>
      <c r="L46" s="175">
        <f t="shared" ca="1" si="108"/>
        <v>1379.6835231471216</v>
      </c>
      <c r="M46" s="175">
        <f t="shared" ca="1" si="108"/>
        <v>1500.5310897219608</v>
      </c>
      <c r="N46" s="175">
        <f t="shared" ca="1" si="108"/>
        <v>1646.5053780598855</v>
      </c>
      <c r="O46" s="175">
        <f t="shared" ca="1" si="108"/>
        <v>1711.1169483078195</v>
      </c>
      <c r="P46" s="175">
        <f t="shared" ca="1" si="108"/>
        <v>1872.6458739276541</v>
      </c>
      <c r="Q46" s="175">
        <f t="shared" ca="1" si="108"/>
        <v>1957.5981236980856</v>
      </c>
      <c r="R46" s="175">
        <f t="shared" ca="1" si="108"/>
        <v>2041.3538629083703</v>
      </c>
      <c r="S46" s="175">
        <f t="shared" ca="1" si="108"/>
        <v>2168.1839822839443</v>
      </c>
      <c r="T46" s="175">
        <f t="shared" ca="1" si="108"/>
        <v>2309.3722283812813</v>
      </c>
      <c r="U46" s="175">
        <f t="shared" ca="1" si="108"/>
        <v>2440.9883899974429</v>
      </c>
      <c r="V46" s="175">
        <f t="shared" ca="1" si="108"/>
        <v>2543.8882981700785</v>
      </c>
      <c r="W46" s="175">
        <f t="shared" ca="1" si="108"/>
        <v>2659.9498225043299</v>
      </c>
      <c r="X46" s="175">
        <f t="shared" ca="1" si="108"/>
        <v>2865.7496388496006</v>
      </c>
      <c r="Y46" s="175">
        <f t="shared" ca="1" si="108"/>
        <v>0</v>
      </c>
      <c r="Z46" s="159"/>
      <c r="AA46" s="159"/>
      <c r="AB46" s="169" t="str">
        <f ca="1">B46</f>
        <v>Mahawong</v>
      </c>
      <c r="AC46" s="170">
        <f t="shared" ca="1" si="46"/>
        <v>-2.4173098636135819</v>
      </c>
      <c r="AD46" s="170">
        <f t="shared" ca="1" si="46"/>
        <v>-52.869153141905315</v>
      </c>
      <c r="AE46" s="170">
        <f t="shared" ca="1" si="47"/>
        <v>-45.75289005367398</v>
      </c>
      <c r="AF46" s="170">
        <f t="shared" ca="1" si="48"/>
        <v>-84.917468988282621</v>
      </c>
      <c r="AG46" s="170">
        <f t="shared" ca="1" si="49"/>
        <v>-72.275253877258592</v>
      </c>
      <c r="AH46" s="170">
        <f t="shared" ca="1" si="50"/>
        <v>-52.894063887049811</v>
      </c>
      <c r="AI46" s="170">
        <f t="shared" ca="1" si="51"/>
        <v>-66.035592887064695</v>
      </c>
      <c r="AJ46" s="170">
        <f t="shared" ca="1" si="52"/>
        <v>-62.871957248943318</v>
      </c>
      <c r="AK46" s="170">
        <f t="shared" ca="1" si="53"/>
        <v>-89.689796210861005</v>
      </c>
      <c r="AL46" s="170">
        <f t="shared" ca="1" si="54"/>
        <v>-122.68486223089781</v>
      </c>
      <c r="AM46" s="170">
        <f t="shared" ca="1" si="55"/>
        <v>-111.2661260070256</v>
      </c>
      <c r="AN46" s="170">
        <f t="shared" ca="1" si="56"/>
        <v>-100.65398624821319</v>
      </c>
      <c r="AO46" s="170">
        <f t="shared" ca="1" si="57"/>
        <v>-149.10016634064414</v>
      </c>
      <c r="AP46" s="170">
        <f t="shared" ca="1" si="58"/>
        <v>-153.64654117445275</v>
      </c>
      <c r="AQ46" s="170">
        <f t="shared" ca="1" si="59"/>
        <v>-170.47930678872262</v>
      </c>
      <c r="AR46" s="170">
        <f t="shared" ca="1" si="60"/>
        <v>-175.5989856609765</v>
      </c>
      <c r="AS46" s="170">
        <f t="shared" ca="1" si="61"/>
        <v>-140.07401378078384</v>
      </c>
      <c r="AT46" s="170">
        <f t="shared" ca="1" si="62"/>
        <v>-139.96762149806455</v>
      </c>
      <c r="AU46" s="170">
        <f t="shared" ca="1" si="63"/>
        <v>-160.01366490402688</v>
      </c>
      <c r="AV46" s="170">
        <f t="shared" ca="1" si="64"/>
        <v>-148.51479819355563</v>
      </c>
      <c r="AW46" s="170">
        <f t="shared" ca="1" si="65"/>
        <v>-183.10181238510768</v>
      </c>
      <c r="AX46" s="170">
        <f t="shared" ca="1" si="66"/>
        <v>-210.89077483997607</v>
      </c>
      <c r="AZ46" s="176"/>
      <c r="BC46" s="176"/>
      <c r="BD46" s="177"/>
      <c r="BE46" s="177"/>
    </row>
    <row r="47" spans="1:60" ht="12" customHeight="1">
      <c r="A47" s="162"/>
      <c r="B47" s="168" t="str">
        <f t="shared" ca="1" si="67"/>
        <v>Lothars Revenge: Oranje (naar) boven!</v>
      </c>
      <c r="C47" s="175">
        <f t="shared" ref="C47:D47" ca="1" si="109">IF($AC13&lt;&gt;"",C32*$AC13,"")</f>
        <v>129.50885519464549</v>
      </c>
      <c r="D47" s="175">
        <f t="shared" ca="1" si="109"/>
        <v>355.42731817496406</v>
      </c>
      <c r="E47" s="175">
        <f t="shared" ref="E47:Y47" ca="1" si="110">IF($AC13&lt;&gt;"",E32*$AC13,"")</f>
        <v>498.30548124900344</v>
      </c>
      <c r="F47" s="175">
        <f t="shared" ca="1" si="110"/>
        <v>692.47324132398001</v>
      </c>
      <c r="G47" s="175">
        <f t="shared" ca="1" si="110"/>
        <v>814.59132942144959</v>
      </c>
      <c r="H47" s="175">
        <f t="shared" ca="1" si="110"/>
        <v>923.27642782819737</v>
      </c>
      <c r="I47" s="175">
        <f t="shared" ca="1" si="110"/>
        <v>1055.1639629734645</v>
      </c>
      <c r="J47" s="175">
        <f t="shared" ca="1" si="110"/>
        <v>1229.7928289528459</v>
      </c>
      <c r="K47" s="175">
        <f t="shared" ca="1" si="110"/>
        <v>1366.5650876220118</v>
      </c>
      <c r="L47" s="175">
        <f t="shared" ca="1" si="110"/>
        <v>1560.7328476969883</v>
      </c>
      <c r="M47" s="175">
        <f t="shared" ca="1" si="110"/>
        <v>1658.4273181749641</v>
      </c>
      <c r="N47" s="175">
        <f t="shared" ca="1" si="110"/>
        <v>1732.9193519144205</v>
      </c>
      <c r="O47" s="175">
        <f t="shared" ca="1" si="110"/>
        <v>1851.3738973689658</v>
      </c>
      <c r="P47" s="175">
        <f t="shared" ca="1" si="110"/>
        <v>1980.8190707522836</v>
      </c>
      <c r="Q47" s="175">
        <f t="shared" ca="1" si="110"/>
        <v>2074.849998587335</v>
      </c>
      <c r="R47" s="175">
        <f t="shared" ca="1" si="110"/>
        <v>2149.3420323267915</v>
      </c>
      <c r="S47" s="175">
        <f t="shared" ca="1" si="110"/>
        <v>2204.295171970653</v>
      </c>
      <c r="T47" s="175">
        <f t="shared" ca="1" si="110"/>
        <v>2380.1452188310091</v>
      </c>
      <c r="U47" s="175">
        <f t="shared" ca="1" si="110"/>
        <v>2527.9081054289468</v>
      </c>
      <c r="V47" s="175">
        <f t="shared" ca="1" si="110"/>
        <v>2620.7178523830235</v>
      </c>
      <c r="W47" s="175">
        <f t="shared" ca="1" si="110"/>
        <v>2757.4901110521896</v>
      </c>
      <c r="X47" s="175">
        <f t="shared" ca="1" si="110"/>
        <v>2951.6578711271659</v>
      </c>
      <c r="Y47" s="175">
        <f t="shared" ca="1" si="110"/>
        <v>0</v>
      </c>
      <c r="Z47" s="159"/>
      <c r="AA47" s="159"/>
      <c r="AB47" s="169" t="str">
        <f ca="1">B47</f>
        <v>Lothars Revenge: Oranje (naar) boven!</v>
      </c>
      <c r="AC47" s="170">
        <f t="shared" ca="1" si="46"/>
        <v>-5.827974142995032</v>
      </c>
      <c r="AD47" s="170">
        <f t="shared" ca="1" si="46"/>
        <v>34.43295226242941</v>
      </c>
      <c r="AE47" s="170">
        <f t="shared" ca="1" si="47"/>
        <v>21.701942244718509</v>
      </c>
      <c r="AF47" s="170">
        <f t="shared" ca="1" si="48"/>
        <v>37.909898408043318</v>
      </c>
      <c r="AG47" s="170">
        <f t="shared" ca="1" si="49"/>
        <v>38.661018880081429</v>
      </c>
      <c r="AH47" s="170">
        <f t="shared" ca="1" si="50"/>
        <v>20.753018939113304</v>
      </c>
      <c r="AI47" s="170">
        <f t="shared" ca="1" si="51"/>
        <v>17.454947949379402</v>
      </c>
      <c r="AJ47" s="170">
        <f t="shared" ca="1" si="52"/>
        <v>26.539460586165887</v>
      </c>
      <c r="AK47" s="170">
        <f t="shared" ca="1" si="53"/>
        <v>16.842824278721537</v>
      </c>
      <c r="AL47" s="170">
        <f t="shared" ca="1" si="54"/>
        <v>58.36446231896889</v>
      </c>
      <c r="AM47" s="170">
        <f t="shared" ca="1" si="55"/>
        <v>46.630102445977627</v>
      </c>
      <c r="AN47" s="170">
        <f t="shared" ca="1" si="56"/>
        <v>-14.240012393678171</v>
      </c>
      <c r="AO47" s="170">
        <f t="shared" ca="1" si="57"/>
        <v>-8.8432172794978214</v>
      </c>
      <c r="AP47" s="170">
        <f t="shared" ca="1" si="58"/>
        <v>-45.473344349823265</v>
      </c>
      <c r="AQ47" s="170">
        <f t="shared" ca="1" si="59"/>
        <v>-53.227431899473231</v>
      </c>
      <c r="AR47" s="170">
        <f t="shared" ca="1" si="60"/>
        <v>-67.610816242555302</v>
      </c>
      <c r="AS47" s="170">
        <f t="shared" ca="1" si="61"/>
        <v>-103.96282409407513</v>
      </c>
      <c r="AT47" s="170">
        <f t="shared" ca="1" si="62"/>
        <v>-69.19463104833676</v>
      </c>
      <c r="AU47" s="170">
        <f t="shared" ca="1" si="63"/>
        <v>-73.093949472523036</v>
      </c>
      <c r="AV47" s="170">
        <f t="shared" ca="1" si="64"/>
        <v>-71.685243980610721</v>
      </c>
      <c r="AW47" s="170">
        <f t="shared" ca="1" si="65"/>
        <v>-85.561523837247933</v>
      </c>
      <c r="AX47" s="170">
        <f t="shared" ca="1" si="66"/>
        <v>-124.9825425624108</v>
      </c>
      <c r="AZ47" s="176"/>
      <c r="BC47" s="176"/>
      <c r="BD47" s="177"/>
      <c r="BE47" s="177"/>
    </row>
    <row r="48" spans="1:60" ht="12" customHeight="1">
      <c r="A48" s="162"/>
      <c r="B48" s="168"/>
      <c r="C48" s="175"/>
      <c r="D48" s="175"/>
      <c r="E48" s="175"/>
      <c r="F48" s="175"/>
      <c r="G48" s="175"/>
      <c r="H48" s="175"/>
      <c r="I48" s="175"/>
      <c r="J48" s="175"/>
      <c r="K48" s="175"/>
      <c r="L48" s="175"/>
      <c r="M48" s="175"/>
      <c r="N48" s="175"/>
      <c r="O48" s="175"/>
      <c r="P48" s="175"/>
      <c r="Q48" s="175"/>
      <c r="R48" s="175"/>
      <c r="S48" s="175"/>
      <c r="T48" s="175"/>
      <c r="U48" s="175"/>
      <c r="V48" s="175"/>
      <c r="W48" s="175"/>
      <c r="X48" s="209"/>
      <c r="Z48" s="159"/>
      <c r="AA48" s="159"/>
      <c r="AB48" s="169">
        <f t="shared" si="45"/>
        <v>0</v>
      </c>
      <c r="AC48" s="178">
        <f ca="1">AVERAGE(C37:C47)</f>
        <v>135.33682933764052</v>
      </c>
      <c r="AD48" s="178">
        <f ca="1">AVERAGE(D37:D47)</f>
        <v>320.99436591253465</v>
      </c>
      <c r="AE48" s="178">
        <f t="shared" ref="AE48:AX48" ca="1" si="111">AVERAGE(E37:E47)</f>
        <v>476.60353900428493</v>
      </c>
      <c r="AF48" s="178">
        <f t="shared" ca="1" si="111"/>
        <v>654.56334291593669</v>
      </c>
      <c r="AG48" s="178">
        <f t="shared" ca="1" si="111"/>
        <v>775.93031054136816</v>
      </c>
      <c r="AH48" s="178">
        <f t="shared" ca="1" si="111"/>
        <v>902.52340888908407</v>
      </c>
      <c r="AI48" s="178">
        <f t="shared" ca="1" si="111"/>
        <v>1037.7090150240851</v>
      </c>
      <c r="AJ48" s="178">
        <f t="shared" ca="1" si="111"/>
        <v>1203.25336836668</v>
      </c>
      <c r="AK48" s="178">
        <f t="shared" ca="1" si="111"/>
        <v>1349.7222633432903</v>
      </c>
      <c r="AL48" s="178">
        <f t="shared" ca="1" si="111"/>
        <v>1502.3683853780194</v>
      </c>
      <c r="AM48" s="178">
        <f t="shared" ca="1" si="111"/>
        <v>1611.7972157289864</v>
      </c>
      <c r="AN48" s="178">
        <f t="shared" ca="1" si="111"/>
        <v>1747.1593643080987</v>
      </c>
      <c r="AO48" s="178">
        <f t="shared" ca="1" si="111"/>
        <v>1860.2171146484636</v>
      </c>
      <c r="AP48" s="178">
        <f t="shared" ca="1" si="111"/>
        <v>2026.2924151021068</v>
      </c>
      <c r="AQ48" s="178">
        <f t="shared" ca="1" si="111"/>
        <v>2128.0774304868082</v>
      </c>
      <c r="AR48" s="178">
        <f t="shared" ca="1" si="111"/>
        <v>2216.9528485693468</v>
      </c>
      <c r="AS48" s="178">
        <f t="shared" ca="1" si="111"/>
        <v>2308.2579960647281</v>
      </c>
      <c r="AT48" s="178">
        <f t="shared" ca="1" si="111"/>
        <v>2449.3398498793458</v>
      </c>
      <c r="AU48" s="178">
        <f t="shared" ca="1" si="111"/>
        <v>2601.0020549014698</v>
      </c>
      <c r="AV48" s="178">
        <f t="shared" ca="1" si="111"/>
        <v>2692.4030963636342</v>
      </c>
      <c r="AW48" s="178">
        <f t="shared" ca="1" si="111"/>
        <v>2843.0516348894375</v>
      </c>
      <c r="AX48" s="178">
        <f t="shared" ca="1" si="111"/>
        <v>3076.6404136895767</v>
      </c>
      <c r="AY48" s="174"/>
      <c r="AZ48" s="174"/>
      <c r="BA48" s="177"/>
      <c r="BB48" s="177"/>
      <c r="BC48" s="177"/>
      <c r="BD48" s="177"/>
      <c r="BE48" s="177"/>
    </row>
    <row r="49" spans="1:57" s="159" customFormat="1" ht="12" customHeight="1" thickBot="1">
      <c r="B49" s="167" t="s">
        <v>5</v>
      </c>
      <c r="C49" s="161" t="str">
        <f>C36</f>
        <v>P</v>
      </c>
      <c r="D49" s="161">
        <f t="shared" ref="D49:X49" si="112">D36</f>
        <v>1</v>
      </c>
      <c r="E49" s="161">
        <f t="shared" si="112"/>
        <v>2</v>
      </c>
      <c r="F49" s="161">
        <f t="shared" si="112"/>
        <v>3</v>
      </c>
      <c r="G49" s="161">
        <f t="shared" si="112"/>
        <v>4</v>
      </c>
      <c r="H49" s="161">
        <f t="shared" si="112"/>
        <v>5</v>
      </c>
      <c r="I49" s="161">
        <f t="shared" si="112"/>
        <v>6</v>
      </c>
      <c r="J49" s="161">
        <f t="shared" si="112"/>
        <v>7</v>
      </c>
      <c r="K49" s="161">
        <f t="shared" si="112"/>
        <v>8</v>
      </c>
      <c r="L49" s="161">
        <f t="shared" si="112"/>
        <v>9</v>
      </c>
      <c r="M49" s="161">
        <f t="shared" si="112"/>
        <v>10</v>
      </c>
      <c r="N49" s="161">
        <f t="shared" si="112"/>
        <v>11</v>
      </c>
      <c r="O49" s="161">
        <f t="shared" si="112"/>
        <v>12</v>
      </c>
      <c r="P49" s="161">
        <f t="shared" si="112"/>
        <v>13</v>
      </c>
      <c r="Q49" s="161">
        <f t="shared" si="112"/>
        <v>14</v>
      </c>
      <c r="R49" s="161">
        <f t="shared" si="112"/>
        <v>15</v>
      </c>
      <c r="S49" s="161">
        <f t="shared" si="112"/>
        <v>16</v>
      </c>
      <c r="T49" s="161">
        <f t="shared" si="112"/>
        <v>17</v>
      </c>
      <c r="U49" s="161">
        <f t="shared" si="112"/>
        <v>18</v>
      </c>
      <c r="V49" s="161">
        <f t="shared" si="112"/>
        <v>19</v>
      </c>
      <c r="W49" s="161">
        <f t="shared" si="112"/>
        <v>20</v>
      </c>
      <c r="X49" s="207" t="str">
        <f t="shared" si="112"/>
        <v>B</v>
      </c>
      <c r="AB49" s="173"/>
      <c r="AZ49" s="179"/>
      <c r="BA49" s="179"/>
      <c r="BB49" s="179"/>
      <c r="BC49" s="179"/>
      <c r="BD49" s="179"/>
      <c r="BE49" s="179"/>
    </row>
    <row r="50" spans="1:57" ht="12" customHeight="1">
      <c r="A50" s="180">
        <v>1</v>
      </c>
      <c r="B50" s="181" t="str">
        <f t="shared" ref="B50:B60" ca="1" si="113">INDEX(lijst_teams,MATCH(A50,$Z$3:$Z$13,0))</f>
        <v>Special Victims Unit</v>
      </c>
      <c r="C50" s="175">
        <f t="shared" ref="C50:C60" ca="1" si="114">VLOOKUP($B50,$B$3:$Y$18,2,0)</f>
        <v>162.06442598752645</v>
      </c>
      <c r="D50" s="175">
        <f t="shared" ref="D50:D60" ca="1" si="115">VLOOKUP($B50,$B$3:$Y$18,3,0)</f>
        <v>218</v>
      </c>
      <c r="E50" s="175">
        <f t="shared" ref="E50:E60" ca="1" si="116">VLOOKUP($B50,$B$3:$Y$18,4,0)</f>
        <v>190</v>
      </c>
      <c r="F50" s="175">
        <f t="shared" ref="F50:F60" ca="1" si="117">VLOOKUP($B50,$B$3:$Y$18,5,0)</f>
        <v>201</v>
      </c>
      <c r="G50" s="175">
        <f t="shared" ref="G50:G60" ca="1" si="118">VLOOKUP($B50,$B$3:$Y$18,6,0)</f>
        <v>148</v>
      </c>
      <c r="H50" s="175">
        <f t="shared" ref="H50:H60" ca="1" si="119">VLOOKUP($B50,$B$3:$Y$18,7,0)</f>
        <v>172</v>
      </c>
      <c r="I50" s="175">
        <f t="shared" ref="I50:I60" ca="1" si="120">VLOOKUP($B50,$B$3:$Y$18,8,0)</f>
        <v>168</v>
      </c>
      <c r="J50" s="175">
        <f t="shared" ref="J50:J60" ca="1" si="121">VLOOKUP($B50,$B$3:$Y$18,9,0)</f>
        <v>187</v>
      </c>
      <c r="K50" s="175">
        <f t="shared" ref="K50:K60" ca="1" si="122">VLOOKUP($B50,$B$3:$Y$18,10,0)</f>
        <v>172</v>
      </c>
      <c r="L50" s="175">
        <f t="shared" ref="L50:L60" ca="1" si="123">VLOOKUP($B50,$B$3:$Y$18,11,0)</f>
        <v>201</v>
      </c>
      <c r="M50" s="175">
        <f t="shared" ref="M50:M60" ca="1" si="124">VLOOKUP($B50,$B$3:$Y$18,12,0)</f>
        <v>125</v>
      </c>
      <c r="N50" s="175">
        <f t="shared" ref="N50:N60" ca="1" si="125">VLOOKUP($B50,$B$3:$Y$18,13,0)</f>
        <v>162</v>
      </c>
      <c r="O50" s="175">
        <f t="shared" ref="O50:O60" ca="1" si="126">VLOOKUP($B50,$B$3:$Y$18,14,0)</f>
        <v>153</v>
      </c>
      <c r="P50" s="175">
        <f t="shared" ref="P50:P60" ca="1" si="127">VLOOKUP($B50,$B$3:$Y$18,15,0)</f>
        <v>205</v>
      </c>
      <c r="Q50" s="175">
        <f t="shared" ref="Q50:Q60" ca="1" si="128">VLOOKUP($B50,$B$3:$Y$18,16,0)</f>
        <v>121</v>
      </c>
      <c r="R50" s="175">
        <f t="shared" ref="R50:R60" ca="1" si="129">VLOOKUP($B50,$B$3:$Y$18,17,0)</f>
        <v>91</v>
      </c>
      <c r="S50" s="175">
        <f t="shared" ref="S50:S60" ca="1" si="130">VLOOKUP($B50,$B$3:$Y$18,18,0)</f>
        <v>113</v>
      </c>
      <c r="T50" s="175">
        <f t="shared" ref="T50:T60" ca="1" si="131">VLOOKUP($B50,$B$3:$Y$18,19,0)</f>
        <v>193</v>
      </c>
      <c r="U50" s="175">
        <f t="shared" ref="U50:U60" ca="1" si="132">VLOOKUP($B50,$B$3:$Y$18,20,0)</f>
        <v>181</v>
      </c>
      <c r="V50" s="175">
        <f t="shared" ref="V50:V60" ca="1" si="133">VLOOKUP($B50,$B$3:$Y$18,21,0)</f>
        <v>129</v>
      </c>
      <c r="W50" s="175">
        <f t="shared" ref="W50:W59" ca="1" si="134">VLOOKUP($B50,$B$3:$Y$18,22,0)</f>
        <v>180</v>
      </c>
      <c r="X50" s="209">
        <f ca="1">VLOOKUP($B50,$B$3:$Y$18,23,0)</f>
        <v>307</v>
      </c>
      <c r="Y50" s="166"/>
      <c r="Z50" s="283">
        <f t="shared" ref="Z50:Z56" ca="1" si="135">SUM(C50:Y50)</f>
        <v>3779.0644259875262</v>
      </c>
      <c r="AA50" s="166"/>
      <c r="AB50" s="182">
        <f ca="1">Z50/Score!$AF$18</f>
        <v>0.83982781912443893</v>
      </c>
    </row>
    <row r="51" spans="1:57" ht="11.25" customHeight="1">
      <c r="A51" s="180">
        <v>2</v>
      </c>
      <c r="B51" s="181" t="str">
        <f t="shared" ca="1" si="113"/>
        <v>Am Selfkant</v>
      </c>
      <c r="C51" s="175">
        <f t="shared" ca="1" si="114"/>
        <v>137.01687650127036</v>
      </c>
      <c r="D51" s="175">
        <f t="shared" ca="1" si="115"/>
        <v>176</v>
      </c>
      <c r="E51" s="175">
        <f t="shared" ca="1" si="116"/>
        <v>192</v>
      </c>
      <c r="F51" s="175">
        <f t="shared" ca="1" si="117"/>
        <v>166</v>
      </c>
      <c r="G51" s="175">
        <f t="shared" ca="1" si="118"/>
        <v>143</v>
      </c>
      <c r="H51" s="175">
        <f t="shared" ca="1" si="119"/>
        <v>148</v>
      </c>
      <c r="I51" s="175">
        <f t="shared" ca="1" si="120"/>
        <v>164</v>
      </c>
      <c r="J51" s="175">
        <f t="shared" ca="1" si="121"/>
        <v>195</v>
      </c>
      <c r="K51" s="175">
        <f t="shared" ca="1" si="122"/>
        <v>195</v>
      </c>
      <c r="L51" s="175">
        <f t="shared" ca="1" si="123"/>
        <v>168</v>
      </c>
      <c r="M51" s="175">
        <f t="shared" ca="1" si="124"/>
        <v>132</v>
      </c>
      <c r="N51" s="175">
        <f t="shared" ca="1" si="125"/>
        <v>183</v>
      </c>
      <c r="O51" s="175">
        <f t="shared" ca="1" si="126"/>
        <v>139</v>
      </c>
      <c r="P51" s="175">
        <f t="shared" ca="1" si="127"/>
        <v>209</v>
      </c>
      <c r="Q51" s="175">
        <f t="shared" ca="1" si="128"/>
        <v>136</v>
      </c>
      <c r="R51" s="175">
        <f t="shared" ca="1" si="129"/>
        <v>106</v>
      </c>
      <c r="S51" s="175">
        <f t="shared" ca="1" si="130"/>
        <v>87</v>
      </c>
      <c r="T51" s="175">
        <f t="shared" ca="1" si="131"/>
        <v>156</v>
      </c>
      <c r="U51" s="175">
        <f t="shared" ca="1" si="132"/>
        <v>196</v>
      </c>
      <c r="V51" s="175">
        <f t="shared" ca="1" si="133"/>
        <v>94</v>
      </c>
      <c r="W51" s="175">
        <f t="shared" ca="1" si="134"/>
        <v>190</v>
      </c>
      <c r="X51" s="209">
        <f t="shared" ref="X51:X60" ca="1" si="136">VLOOKUP($B51,$B$3:$Y$18,23,0)</f>
        <v>295</v>
      </c>
      <c r="Y51" s="166"/>
      <c r="Z51" s="283">
        <f t="shared" ca="1" si="135"/>
        <v>3607.0168765012704</v>
      </c>
      <c r="AA51" s="166"/>
      <c r="AB51" s="182">
        <f ca="1">Z51/Score!$AF$18</f>
        <v>0.80159340394031864</v>
      </c>
    </row>
    <row r="52" spans="1:57" ht="12" customHeight="1">
      <c r="A52" s="162">
        <v>3</v>
      </c>
      <c r="B52" s="181" t="str">
        <f t="shared" ca="1" si="113"/>
        <v>City United</v>
      </c>
      <c r="C52" s="175">
        <f t="shared" ca="1" si="114"/>
        <v>158.04311302930557</v>
      </c>
      <c r="D52" s="175">
        <f t="shared" ca="1" si="115"/>
        <v>216</v>
      </c>
      <c r="E52" s="175">
        <f t="shared" ca="1" si="116"/>
        <v>182</v>
      </c>
      <c r="F52" s="175">
        <f t="shared" ca="1" si="117"/>
        <v>224</v>
      </c>
      <c r="G52" s="175">
        <f t="shared" ca="1" si="118"/>
        <v>150</v>
      </c>
      <c r="H52" s="175">
        <f t="shared" ca="1" si="119"/>
        <v>155</v>
      </c>
      <c r="I52" s="175">
        <f t="shared" ca="1" si="120"/>
        <v>168</v>
      </c>
      <c r="J52" s="175">
        <f t="shared" ca="1" si="121"/>
        <v>159</v>
      </c>
      <c r="K52" s="175">
        <f t="shared" ca="1" si="122"/>
        <v>160</v>
      </c>
      <c r="L52" s="175">
        <f t="shared" ca="1" si="123"/>
        <v>159</v>
      </c>
      <c r="M52" s="175">
        <f t="shared" ca="1" si="124"/>
        <v>98</v>
      </c>
      <c r="N52" s="175">
        <f t="shared" ca="1" si="125"/>
        <v>142</v>
      </c>
      <c r="O52" s="175">
        <f t="shared" ca="1" si="126"/>
        <v>133</v>
      </c>
      <c r="P52" s="175">
        <f t="shared" ca="1" si="127"/>
        <v>185</v>
      </c>
      <c r="Q52" s="175">
        <f t="shared" ca="1" si="128"/>
        <v>106</v>
      </c>
      <c r="R52" s="175">
        <f t="shared" ca="1" si="129"/>
        <v>100</v>
      </c>
      <c r="S52" s="175">
        <f t="shared" ca="1" si="130"/>
        <v>123</v>
      </c>
      <c r="T52" s="175">
        <f t="shared" ca="1" si="131"/>
        <v>118</v>
      </c>
      <c r="U52" s="175">
        <f t="shared" ca="1" si="132"/>
        <v>191</v>
      </c>
      <c r="V52" s="175">
        <f t="shared" ca="1" si="133"/>
        <v>89</v>
      </c>
      <c r="W52" s="175">
        <f t="shared" ca="1" si="134"/>
        <v>185</v>
      </c>
      <c r="X52" s="209">
        <f t="shared" ca="1" si="136"/>
        <v>234</v>
      </c>
      <c r="Y52" s="166"/>
      <c r="Z52" s="283">
        <f ca="1">SUM(C52:Y52)</f>
        <v>3435.0431130293055</v>
      </c>
      <c r="AA52" s="166"/>
      <c r="AB52" s="182">
        <f ca="1">Z52/Score!$AF$18</f>
        <v>0.76337538634578106</v>
      </c>
    </row>
    <row r="53" spans="1:57" ht="12" customHeight="1">
      <c r="A53" s="180">
        <v>4</v>
      </c>
      <c r="B53" s="181" t="str">
        <f t="shared" ca="1" si="113"/>
        <v>De Lange Man</v>
      </c>
      <c r="C53" s="175">
        <f t="shared" ca="1" si="114"/>
        <v>147.08598647282534</v>
      </c>
      <c r="D53" s="175">
        <f t="shared" ca="1" si="115"/>
        <v>179</v>
      </c>
      <c r="E53" s="175">
        <f t="shared" ca="1" si="116"/>
        <v>168</v>
      </c>
      <c r="F53" s="175">
        <f t="shared" ca="1" si="117"/>
        <v>198</v>
      </c>
      <c r="G53" s="175">
        <f t="shared" ca="1" si="118"/>
        <v>120</v>
      </c>
      <c r="H53" s="175">
        <f t="shared" ca="1" si="119"/>
        <v>119</v>
      </c>
      <c r="I53" s="175">
        <f t="shared" ca="1" si="120"/>
        <v>138</v>
      </c>
      <c r="J53" s="175">
        <f t="shared" ca="1" si="121"/>
        <v>155</v>
      </c>
      <c r="K53" s="175">
        <f t="shared" ca="1" si="122"/>
        <v>156</v>
      </c>
      <c r="L53" s="175">
        <f t="shared" ca="1" si="123"/>
        <v>155</v>
      </c>
      <c r="M53" s="175">
        <f t="shared" ca="1" si="124"/>
        <v>134</v>
      </c>
      <c r="N53" s="175">
        <f t="shared" ca="1" si="125"/>
        <v>138</v>
      </c>
      <c r="O53" s="175">
        <f t="shared" ca="1" si="126"/>
        <v>110</v>
      </c>
      <c r="P53" s="175">
        <f t="shared" ca="1" si="127"/>
        <v>182</v>
      </c>
      <c r="Q53" s="175">
        <f t="shared" ca="1" si="128"/>
        <v>105</v>
      </c>
      <c r="R53" s="175">
        <f t="shared" ca="1" si="129"/>
        <v>124</v>
      </c>
      <c r="S53" s="175">
        <f t="shared" ca="1" si="130"/>
        <v>120</v>
      </c>
      <c r="T53" s="175">
        <f t="shared" ca="1" si="131"/>
        <v>120</v>
      </c>
      <c r="U53" s="175">
        <f t="shared" ca="1" si="132"/>
        <v>163</v>
      </c>
      <c r="V53" s="175">
        <f t="shared" ca="1" si="133"/>
        <v>91</v>
      </c>
      <c r="W53" s="175">
        <f t="shared" ca="1" si="134"/>
        <v>161</v>
      </c>
      <c r="X53" s="209">
        <f t="shared" ca="1" si="136"/>
        <v>239</v>
      </c>
      <c r="Y53" s="166"/>
      <c r="Z53" s="283">
        <f ca="1">SUM(C53:Y53)</f>
        <v>3222.0859864728254</v>
      </c>
      <c r="AA53" s="166"/>
      <c r="AB53" s="182">
        <f ca="1">Z53/Score!$AF$18</f>
        <v>0.7160495673062709</v>
      </c>
    </row>
    <row r="54" spans="1:57" ht="12" customHeight="1">
      <c r="A54" s="180">
        <v>5</v>
      </c>
      <c r="B54" s="181" t="str">
        <f t="shared" ca="1" si="113"/>
        <v>Winner on Wheels</v>
      </c>
      <c r="C54" s="175">
        <f t="shared" ca="1" si="114"/>
        <v>89.070957075090803</v>
      </c>
      <c r="D54" s="175">
        <f t="shared" ca="1" si="115"/>
        <v>132</v>
      </c>
      <c r="E54" s="175">
        <f t="shared" ca="1" si="116"/>
        <v>135</v>
      </c>
      <c r="F54" s="175">
        <f t="shared" ca="1" si="117"/>
        <v>124</v>
      </c>
      <c r="G54" s="175">
        <f t="shared" ca="1" si="118"/>
        <v>124</v>
      </c>
      <c r="H54" s="175">
        <f t="shared" ca="1" si="119"/>
        <v>143</v>
      </c>
      <c r="I54" s="175">
        <f t="shared" ca="1" si="120"/>
        <v>155</v>
      </c>
      <c r="J54" s="175">
        <f t="shared" ca="1" si="121"/>
        <v>211</v>
      </c>
      <c r="K54" s="175">
        <f t="shared" ca="1" si="122"/>
        <v>190</v>
      </c>
      <c r="L54" s="175">
        <f t="shared" ca="1" si="123"/>
        <v>165</v>
      </c>
      <c r="M54" s="175">
        <f t="shared" ca="1" si="124"/>
        <v>112</v>
      </c>
      <c r="N54" s="175">
        <f t="shared" ca="1" si="125"/>
        <v>161</v>
      </c>
      <c r="O54" s="175">
        <f t="shared" ca="1" si="126"/>
        <v>144</v>
      </c>
      <c r="P54" s="175">
        <f t="shared" ca="1" si="127"/>
        <v>172</v>
      </c>
      <c r="Q54" s="175">
        <f t="shared" ca="1" si="128"/>
        <v>106</v>
      </c>
      <c r="R54" s="175">
        <f t="shared" ca="1" si="129"/>
        <v>106</v>
      </c>
      <c r="S54" s="175">
        <f t="shared" ca="1" si="130"/>
        <v>83</v>
      </c>
      <c r="T54" s="175">
        <f t="shared" ca="1" si="131"/>
        <v>137</v>
      </c>
      <c r="U54" s="175">
        <f t="shared" ca="1" si="132"/>
        <v>142</v>
      </c>
      <c r="V54" s="175">
        <f t="shared" ca="1" si="133"/>
        <v>105</v>
      </c>
      <c r="W54" s="175">
        <f t="shared" ca="1" si="134"/>
        <v>141</v>
      </c>
      <c r="X54" s="209">
        <f t="shared" ca="1" si="136"/>
        <v>286</v>
      </c>
      <c r="Y54" s="166"/>
      <c r="Z54" s="283">
        <f t="shared" ca="1" si="135"/>
        <v>3163.0709570750905</v>
      </c>
      <c r="AA54" s="166"/>
      <c r="AB54" s="182">
        <f ca="1">Z54/Score!$AF$18</f>
        <v>0.7029345584448613</v>
      </c>
    </row>
    <row r="55" spans="1:57" ht="12" customHeight="1">
      <c r="A55" s="180">
        <v>6</v>
      </c>
      <c r="B55" s="181" t="str">
        <f t="shared" ca="1" si="113"/>
        <v>Ode Kolonne</v>
      </c>
      <c r="C55" s="175">
        <f t="shared" ca="1" si="114"/>
        <v>165.0949671003313</v>
      </c>
      <c r="D55" s="175">
        <f t="shared" ca="1" si="115"/>
        <v>214</v>
      </c>
      <c r="E55" s="175">
        <f t="shared" ca="1" si="116"/>
        <v>199</v>
      </c>
      <c r="F55" s="175">
        <f t="shared" ca="1" si="117"/>
        <v>197</v>
      </c>
      <c r="G55" s="175">
        <f t="shared" ca="1" si="118"/>
        <v>147</v>
      </c>
      <c r="H55" s="175">
        <f t="shared" ca="1" si="119"/>
        <v>152</v>
      </c>
      <c r="I55" s="175">
        <f t="shared" ca="1" si="120"/>
        <v>154</v>
      </c>
      <c r="J55" s="175">
        <f t="shared" ca="1" si="121"/>
        <v>126</v>
      </c>
      <c r="K55" s="175">
        <f t="shared" ca="1" si="122"/>
        <v>130</v>
      </c>
      <c r="L55" s="175">
        <f t="shared" ca="1" si="123"/>
        <v>134</v>
      </c>
      <c r="M55" s="175">
        <f t="shared" ca="1" si="124"/>
        <v>80</v>
      </c>
      <c r="N55" s="175">
        <f t="shared" ca="1" si="125"/>
        <v>112</v>
      </c>
      <c r="O55" s="175">
        <f t="shared" ca="1" si="126"/>
        <v>116</v>
      </c>
      <c r="P55" s="175">
        <f t="shared" ca="1" si="127"/>
        <v>180</v>
      </c>
      <c r="Q55" s="175">
        <f t="shared" ca="1" si="128"/>
        <v>113</v>
      </c>
      <c r="R55" s="175">
        <f t="shared" ca="1" si="129"/>
        <v>92</v>
      </c>
      <c r="S55" s="175">
        <f t="shared" ca="1" si="130"/>
        <v>60</v>
      </c>
      <c r="T55" s="175">
        <f t="shared" ca="1" si="131"/>
        <v>91</v>
      </c>
      <c r="U55" s="175">
        <f t="shared" ca="1" si="132"/>
        <v>183</v>
      </c>
      <c r="V55" s="175">
        <f t="shared" ca="1" si="133"/>
        <v>71</v>
      </c>
      <c r="W55" s="175">
        <f t="shared" ca="1" si="134"/>
        <v>177</v>
      </c>
      <c r="X55" s="209">
        <f t="shared" ca="1" si="136"/>
        <v>182</v>
      </c>
      <c r="Y55" s="166"/>
      <c r="Z55" s="283">
        <f t="shared" ca="1" si="135"/>
        <v>3075.0949671003314</v>
      </c>
      <c r="AA55" s="166"/>
      <c r="AB55" s="182">
        <f ca="1">Z55/Score!$AF$18</f>
        <v>0.68338350679098314</v>
      </c>
    </row>
    <row r="56" spans="1:57" ht="12" customHeight="1">
      <c r="A56" s="180">
        <v>7</v>
      </c>
      <c r="B56" s="181" t="str">
        <f t="shared" ca="1" si="113"/>
        <v>IJffjes Boys</v>
      </c>
      <c r="C56" s="175">
        <f t="shared" ca="1" si="114"/>
        <v>175.0024797733507</v>
      </c>
      <c r="D56" s="175">
        <f t="shared" ca="1" si="115"/>
        <v>228</v>
      </c>
      <c r="E56" s="175">
        <f t="shared" ca="1" si="116"/>
        <v>129</v>
      </c>
      <c r="F56" s="175">
        <f t="shared" ca="1" si="117"/>
        <v>184</v>
      </c>
      <c r="G56" s="175">
        <f t="shared" ca="1" si="118"/>
        <v>84</v>
      </c>
      <c r="H56" s="175">
        <f t="shared" ca="1" si="119"/>
        <v>83</v>
      </c>
      <c r="I56" s="175">
        <f t="shared" ca="1" si="120"/>
        <v>97</v>
      </c>
      <c r="J56" s="175">
        <f t="shared" ca="1" si="121"/>
        <v>161</v>
      </c>
      <c r="K56" s="175">
        <f t="shared" ca="1" si="122"/>
        <v>158</v>
      </c>
      <c r="L56" s="175">
        <f t="shared" ca="1" si="123"/>
        <v>145</v>
      </c>
      <c r="M56" s="175">
        <f t="shared" ca="1" si="124"/>
        <v>156</v>
      </c>
      <c r="N56" s="175">
        <f t="shared" ca="1" si="125"/>
        <v>146</v>
      </c>
      <c r="O56" s="175">
        <f t="shared" ca="1" si="126"/>
        <v>96</v>
      </c>
      <c r="P56" s="175">
        <f t="shared" ca="1" si="127"/>
        <v>144</v>
      </c>
      <c r="Q56" s="175">
        <f t="shared" ca="1" si="128"/>
        <v>114</v>
      </c>
      <c r="R56" s="175">
        <f t="shared" ca="1" si="129"/>
        <v>81</v>
      </c>
      <c r="S56" s="175">
        <f t="shared" ca="1" si="130"/>
        <v>105</v>
      </c>
      <c r="T56" s="175">
        <f t="shared" ca="1" si="131"/>
        <v>163</v>
      </c>
      <c r="U56" s="175">
        <f t="shared" ca="1" si="132"/>
        <v>122</v>
      </c>
      <c r="V56" s="175">
        <f t="shared" ca="1" si="133"/>
        <v>75</v>
      </c>
      <c r="W56" s="175">
        <f t="shared" ca="1" si="134"/>
        <v>151</v>
      </c>
      <c r="X56" s="209">
        <f t="shared" ca="1" si="136"/>
        <v>254</v>
      </c>
      <c r="Y56" s="166"/>
      <c r="Z56" s="283">
        <f t="shared" ca="1" si="135"/>
        <v>3051.0024797733508</v>
      </c>
      <c r="AA56" s="166"/>
      <c r="AB56" s="182">
        <f ca="1">Z56/Score!$AF$18</f>
        <v>0.67802939296588904</v>
      </c>
    </row>
    <row r="57" spans="1:57" ht="12" customHeight="1">
      <c r="A57" s="162">
        <v>8</v>
      </c>
      <c r="B57" s="181" t="str">
        <f t="shared" ca="1" si="113"/>
        <v>Ami</v>
      </c>
      <c r="C57" s="175">
        <f t="shared" ca="1" si="114"/>
        <v>96.047896017815276</v>
      </c>
      <c r="D57" s="175">
        <f t="shared" ca="1" si="115"/>
        <v>175</v>
      </c>
      <c r="E57" s="175">
        <f t="shared" ca="1" si="116"/>
        <v>123</v>
      </c>
      <c r="F57" s="175">
        <f t="shared" ca="1" si="117"/>
        <v>167</v>
      </c>
      <c r="G57" s="175">
        <f t="shared" ca="1" si="118"/>
        <v>116</v>
      </c>
      <c r="H57" s="175">
        <f t="shared" ca="1" si="119"/>
        <v>118</v>
      </c>
      <c r="I57" s="175">
        <f t="shared" ca="1" si="120"/>
        <v>114</v>
      </c>
      <c r="J57" s="175">
        <f t="shared" ca="1" si="121"/>
        <v>182</v>
      </c>
      <c r="K57" s="175">
        <f t="shared" ca="1" si="122"/>
        <v>137</v>
      </c>
      <c r="L57" s="175">
        <f t="shared" ca="1" si="123"/>
        <v>141</v>
      </c>
      <c r="M57" s="175">
        <f t="shared" ca="1" si="124"/>
        <v>103</v>
      </c>
      <c r="N57" s="175">
        <f t="shared" ca="1" si="125"/>
        <v>179</v>
      </c>
      <c r="O57" s="175">
        <f t="shared" ca="1" si="126"/>
        <v>112</v>
      </c>
      <c r="P57" s="175">
        <f t="shared" ca="1" si="127"/>
        <v>181</v>
      </c>
      <c r="Q57" s="175">
        <f t="shared" ca="1" si="128"/>
        <v>95</v>
      </c>
      <c r="R57" s="175">
        <f t="shared" ca="1" si="129"/>
        <v>86</v>
      </c>
      <c r="S57" s="175">
        <f t="shared" ca="1" si="130"/>
        <v>79</v>
      </c>
      <c r="T57" s="175">
        <f t="shared" ca="1" si="131"/>
        <v>162</v>
      </c>
      <c r="U57" s="175">
        <f t="shared" ca="1" si="132"/>
        <v>138</v>
      </c>
      <c r="V57" s="175">
        <f t="shared" ca="1" si="133"/>
        <v>93</v>
      </c>
      <c r="W57" s="175">
        <f t="shared" ca="1" si="134"/>
        <v>150</v>
      </c>
      <c r="X57" s="209">
        <f t="shared" ca="1" si="136"/>
        <v>263</v>
      </c>
      <c r="Y57" s="166"/>
      <c r="Z57" s="283">
        <f ca="1">SUM(C57:Y57)</f>
        <v>3010.0478960178152</v>
      </c>
      <c r="AA57" s="166"/>
      <c r="AB57" s="182">
        <f ca="1">Z57/Score!$AF$18</f>
        <v>0.66892798719941471</v>
      </c>
    </row>
    <row r="58" spans="1:57" ht="12" customHeight="1">
      <c r="A58" s="180">
        <v>9</v>
      </c>
      <c r="B58" s="181" t="str">
        <f t="shared" ca="1" si="113"/>
        <v>El Gran</v>
      </c>
      <c r="C58" s="175">
        <f t="shared" ca="1" si="114"/>
        <v>149.00124629454118</v>
      </c>
      <c r="D58" s="175">
        <f t="shared" ca="1" si="115"/>
        <v>208</v>
      </c>
      <c r="E58" s="175">
        <f t="shared" ca="1" si="116"/>
        <v>149</v>
      </c>
      <c r="F58" s="175">
        <f t="shared" ca="1" si="117"/>
        <v>227</v>
      </c>
      <c r="G58" s="175">
        <f t="shared" ca="1" si="118"/>
        <v>91</v>
      </c>
      <c r="H58" s="175">
        <f t="shared" ca="1" si="119"/>
        <v>93</v>
      </c>
      <c r="I58" s="175">
        <f t="shared" ca="1" si="120"/>
        <v>124</v>
      </c>
      <c r="J58" s="175">
        <f t="shared" ca="1" si="121"/>
        <v>148</v>
      </c>
      <c r="K58" s="175">
        <f t="shared" ca="1" si="122"/>
        <v>107</v>
      </c>
      <c r="L58" s="175">
        <f t="shared" ca="1" si="123"/>
        <v>146</v>
      </c>
      <c r="M58" s="175">
        <f t="shared" ca="1" si="124"/>
        <v>82</v>
      </c>
      <c r="N58" s="175">
        <f t="shared" ca="1" si="125"/>
        <v>89</v>
      </c>
      <c r="O58" s="175">
        <f t="shared" ca="1" si="126"/>
        <v>96</v>
      </c>
      <c r="P58" s="175">
        <f t="shared" ca="1" si="127"/>
        <v>137</v>
      </c>
      <c r="Q58" s="175">
        <f t="shared" ca="1" si="128"/>
        <v>82</v>
      </c>
      <c r="R58" s="175">
        <f t="shared" ca="1" si="129"/>
        <v>66</v>
      </c>
      <c r="S58" s="175">
        <f t="shared" ca="1" si="130"/>
        <v>85</v>
      </c>
      <c r="T58" s="175">
        <f t="shared" ca="1" si="131"/>
        <v>133</v>
      </c>
      <c r="U58" s="175">
        <f t="shared" ca="1" si="132"/>
        <v>132</v>
      </c>
      <c r="V58" s="175">
        <f t="shared" ca="1" si="133"/>
        <v>89</v>
      </c>
      <c r="W58" s="175">
        <f t="shared" ca="1" si="134"/>
        <v>127</v>
      </c>
      <c r="X58" s="209">
        <f t="shared" ca="1" si="136"/>
        <v>183</v>
      </c>
      <c r="Y58" s="166"/>
      <c r="Z58" s="283">
        <f ca="1">SUM(C58:Y58)</f>
        <v>2743.001246294541</v>
      </c>
      <c r="AA58" s="166"/>
      <c r="AB58" s="182">
        <f ca="1">Z58/Score!$AF$18</f>
        <v>0.60958176280077159</v>
      </c>
    </row>
    <row r="59" spans="1:57" ht="12" customHeight="1">
      <c r="A59" s="180">
        <v>10</v>
      </c>
      <c r="B59" s="181" t="str">
        <f t="shared" ca="1" si="113"/>
        <v>Lothars Revenge: Oranje (naar) boven!</v>
      </c>
      <c r="C59" s="175">
        <f t="shared" ca="1" si="114"/>
        <v>106.02933858658007</v>
      </c>
      <c r="D59" s="175">
        <f t="shared" ca="1" si="115"/>
        <v>185</v>
      </c>
      <c r="E59" s="175">
        <f t="shared" ca="1" si="116"/>
        <v>117</v>
      </c>
      <c r="F59" s="175">
        <f t="shared" ca="1" si="117"/>
        <v>159</v>
      </c>
      <c r="G59" s="175">
        <f t="shared" ca="1" si="118"/>
        <v>100</v>
      </c>
      <c r="H59" s="175">
        <f t="shared" ca="1" si="119"/>
        <v>89</v>
      </c>
      <c r="I59" s="175">
        <f t="shared" ca="1" si="120"/>
        <v>108</v>
      </c>
      <c r="J59" s="175">
        <f t="shared" ca="1" si="121"/>
        <v>143</v>
      </c>
      <c r="K59" s="175">
        <f t="shared" ca="1" si="122"/>
        <v>112</v>
      </c>
      <c r="L59" s="175">
        <f t="shared" ca="1" si="123"/>
        <v>159</v>
      </c>
      <c r="M59" s="175">
        <f t="shared" ca="1" si="124"/>
        <v>80</v>
      </c>
      <c r="N59" s="175">
        <f t="shared" ca="1" si="125"/>
        <v>61</v>
      </c>
      <c r="O59" s="175">
        <f t="shared" ca="1" si="126"/>
        <v>97</v>
      </c>
      <c r="P59" s="175">
        <f t="shared" ca="1" si="127"/>
        <v>106</v>
      </c>
      <c r="Q59" s="175">
        <f t="shared" ca="1" si="128"/>
        <v>77</v>
      </c>
      <c r="R59" s="175">
        <f t="shared" ca="1" si="129"/>
        <v>61</v>
      </c>
      <c r="S59" s="175">
        <f t="shared" ca="1" si="130"/>
        <v>45</v>
      </c>
      <c r="T59" s="175">
        <f t="shared" ca="1" si="131"/>
        <v>144</v>
      </c>
      <c r="U59" s="175">
        <f t="shared" ca="1" si="132"/>
        <v>121</v>
      </c>
      <c r="V59" s="175">
        <f t="shared" ca="1" si="133"/>
        <v>76</v>
      </c>
      <c r="W59" s="175">
        <f t="shared" ca="1" si="134"/>
        <v>112</v>
      </c>
      <c r="X59" s="209">
        <f t="shared" ca="1" si="136"/>
        <v>159</v>
      </c>
      <c r="Y59" s="166"/>
      <c r="Z59" s="283">
        <f t="shared" ref="Z59:Z60" ca="1" si="137">SUM(C59:Y59)</f>
        <v>2417.0293385865798</v>
      </c>
      <c r="AA59" s="166"/>
      <c r="AB59" s="182">
        <f ca="1">Z59/Score!$AF$18</f>
        <v>0.53714047959225042</v>
      </c>
    </row>
    <row r="60" spans="1:57" ht="12" customHeight="1">
      <c r="A60" s="180">
        <v>11</v>
      </c>
      <c r="B60" s="181" t="str">
        <f t="shared" ca="1" si="113"/>
        <v>Mahawong</v>
      </c>
      <c r="C60" s="175">
        <f t="shared" ca="1" si="114"/>
        <v>111.08793798536536</v>
      </c>
      <c r="D60" s="175">
        <f t="shared" ca="1" si="115"/>
        <v>113</v>
      </c>
      <c r="E60" s="175">
        <f t="shared" ca="1" si="116"/>
        <v>136</v>
      </c>
      <c r="F60" s="175">
        <f t="shared" ca="1" si="117"/>
        <v>116</v>
      </c>
      <c r="G60" s="175">
        <f t="shared" ca="1" si="118"/>
        <v>112</v>
      </c>
      <c r="H60" s="175">
        <f t="shared" ca="1" si="119"/>
        <v>122</v>
      </c>
      <c r="I60" s="175">
        <f t="shared" ca="1" si="120"/>
        <v>102</v>
      </c>
      <c r="J60" s="175">
        <f t="shared" ca="1" si="121"/>
        <v>141</v>
      </c>
      <c r="K60" s="175">
        <f t="shared" ca="1" si="122"/>
        <v>100</v>
      </c>
      <c r="L60" s="175">
        <f t="shared" ca="1" si="123"/>
        <v>100</v>
      </c>
      <c r="M60" s="175">
        <f t="shared" ca="1" si="124"/>
        <v>101</v>
      </c>
      <c r="N60" s="175">
        <f t="shared" ca="1" si="125"/>
        <v>122</v>
      </c>
      <c r="O60" s="175">
        <f t="shared" ca="1" si="126"/>
        <v>54</v>
      </c>
      <c r="P60" s="175">
        <f t="shared" ca="1" si="127"/>
        <v>135</v>
      </c>
      <c r="Q60" s="175">
        <f t="shared" ca="1" si="128"/>
        <v>71</v>
      </c>
      <c r="R60" s="175">
        <f t="shared" ca="1" si="129"/>
        <v>70</v>
      </c>
      <c r="S60" s="175">
        <f t="shared" ca="1" si="130"/>
        <v>106</v>
      </c>
      <c r="T60" s="175">
        <f t="shared" ca="1" si="131"/>
        <v>118</v>
      </c>
      <c r="U60" s="175">
        <f t="shared" ca="1" si="132"/>
        <v>110</v>
      </c>
      <c r="V60" s="175">
        <f t="shared" ca="1" si="133"/>
        <v>86</v>
      </c>
      <c r="W60" s="175">
        <f ca="1">VLOOKUP($B60,$B$3:$Y$18,22,0)</f>
        <v>97</v>
      </c>
      <c r="X60" s="209">
        <f t="shared" ca="1" si="136"/>
        <v>172</v>
      </c>
      <c r="Y60" s="166"/>
      <c r="Z60" s="283">
        <f t="shared" ca="1" si="137"/>
        <v>2395.0879379853654</v>
      </c>
      <c r="AA60" s="166"/>
      <c r="AB60" s="182">
        <f ca="1">Z60/Score!$AF$18</f>
        <v>0.53226440537432063</v>
      </c>
    </row>
    <row r="61" spans="1:57" ht="12" customHeight="1">
      <c r="AA61" s="166"/>
    </row>
    <row r="62" spans="1:57" s="184" customFormat="1" ht="12" customHeight="1">
      <c r="B62" s="185" t="s">
        <v>4</v>
      </c>
      <c r="C62" s="186">
        <f t="shared" ref="C62" ca="1" si="138">AVERAGE(C50:C59)</f>
        <v>138.44572868386371</v>
      </c>
      <c r="D62" s="186">
        <f t="shared" ref="D62:Z62" ca="1" si="139">AVERAGE(D50:D59)</f>
        <v>193.1</v>
      </c>
      <c r="E62" s="186">
        <f t="shared" ca="1" si="139"/>
        <v>158.4</v>
      </c>
      <c r="F62" s="186">
        <f t="shared" ca="1" si="139"/>
        <v>184.7</v>
      </c>
      <c r="G62" s="186">
        <f t="shared" ca="1" si="139"/>
        <v>122.3</v>
      </c>
      <c r="H62" s="186">
        <f t="shared" ca="1" si="139"/>
        <v>127.2</v>
      </c>
      <c r="I62" s="186">
        <f t="shared" ca="1" si="139"/>
        <v>139</v>
      </c>
      <c r="J62" s="186">
        <f t="shared" ca="1" si="139"/>
        <v>166.7</v>
      </c>
      <c r="K62" s="186">
        <f t="shared" ca="1" si="139"/>
        <v>151.69999999999999</v>
      </c>
      <c r="L62" s="186">
        <f t="shared" ca="1" si="139"/>
        <v>157.30000000000001</v>
      </c>
      <c r="M62" s="186">
        <f t="shared" ca="1" si="139"/>
        <v>110.2</v>
      </c>
      <c r="N62" s="186">
        <f t="shared" ca="1" si="139"/>
        <v>137.30000000000001</v>
      </c>
      <c r="O62" s="186">
        <f t="shared" ca="1" si="139"/>
        <v>119.6</v>
      </c>
      <c r="P62" s="186">
        <f t="shared" ca="1" si="139"/>
        <v>170.1</v>
      </c>
      <c r="Q62" s="186">
        <f t="shared" ca="1" si="139"/>
        <v>105.5</v>
      </c>
      <c r="R62" s="186">
        <f t="shared" ca="1" si="139"/>
        <v>91.3</v>
      </c>
      <c r="S62" s="186">
        <f t="shared" ca="1" si="139"/>
        <v>90</v>
      </c>
      <c r="T62" s="186">
        <f t="shared" ca="1" si="139"/>
        <v>141.69999999999999</v>
      </c>
      <c r="U62" s="186">
        <f t="shared" ca="1" si="139"/>
        <v>156.9</v>
      </c>
      <c r="V62" s="186">
        <f t="shared" ca="1" si="139"/>
        <v>91.2</v>
      </c>
      <c r="W62" s="186">
        <f t="shared" ca="1" si="139"/>
        <v>157.4</v>
      </c>
      <c r="X62" s="186">
        <f t="shared" ca="1" si="139"/>
        <v>240.2</v>
      </c>
      <c r="Y62" s="186" t="e">
        <f t="shared" si="139"/>
        <v>#DIV/0!</v>
      </c>
      <c r="Z62" s="186">
        <f t="shared" ca="1" si="139"/>
        <v>3150.2457286838639</v>
      </c>
      <c r="AA62" s="187"/>
    </row>
    <row r="63" spans="1:57" s="184" customFormat="1" ht="12" customHeight="1">
      <c r="B63" s="185" t="s">
        <v>105</v>
      </c>
      <c r="C63" s="186">
        <f ca="1">AVERAGE(C50:C57)</f>
        <v>141.17833774468946</v>
      </c>
      <c r="D63" s="186">
        <f t="shared" ref="D63:Z63" ca="1" si="140">AVERAGE(D50:D57)</f>
        <v>192.25</v>
      </c>
      <c r="E63" s="186">
        <f t="shared" ca="1" si="140"/>
        <v>164.75</v>
      </c>
      <c r="F63" s="186">
        <f t="shared" ca="1" si="140"/>
        <v>182.625</v>
      </c>
      <c r="G63" s="186">
        <f t="shared" ca="1" si="140"/>
        <v>129</v>
      </c>
      <c r="H63" s="186">
        <f t="shared" ca="1" si="140"/>
        <v>136.25</v>
      </c>
      <c r="I63" s="186">
        <f t="shared" ca="1" si="140"/>
        <v>144.75</v>
      </c>
      <c r="J63" s="186">
        <f t="shared" ca="1" si="140"/>
        <v>172</v>
      </c>
      <c r="K63" s="186">
        <f t="shared" ca="1" si="140"/>
        <v>162.25</v>
      </c>
      <c r="L63" s="186">
        <f t="shared" ca="1" si="140"/>
        <v>158.5</v>
      </c>
      <c r="M63" s="186">
        <f t="shared" ca="1" si="140"/>
        <v>117.5</v>
      </c>
      <c r="N63" s="186">
        <f t="shared" ca="1" si="140"/>
        <v>152.875</v>
      </c>
      <c r="O63" s="186">
        <f t="shared" ca="1" si="140"/>
        <v>125.375</v>
      </c>
      <c r="P63" s="186">
        <f t="shared" ca="1" si="140"/>
        <v>182.25</v>
      </c>
      <c r="Q63" s="186">
        <f t="shared" ca="1" si="140"/>
        <v>112</v>
      </c>
      <c r="R63" s="186">
        <f t="shared" ca="1" si="140"/>
        <v>98.25</v>
      </c>
      <c r="S63" s="186">
        <f t="shared" ca="1" si="140"/>
        <v>96.25</v>
      </c>
      <c r="T63" s="186">
        <f t="shared" ca="1" si="140"/>
        <v>142.5</v>
      </c>
      <c r="U63" s="186">
        <f t="shared" ca="1" si="140"/>
        <v>164.5</v>
      </c>
      <c r="V63" s="186">
        <f t="shared" ca="1" si="140"/>
        <v>93.375</v>
      </c>
      <c r="W63" s="186">
        <f t="shared" ca="1" si="140"/>
        <v>166.875</v>
      </c>
      <c r="X63" s="186">
        <f t="shared" ca="1" si="140"/>
        <v>257.5</v>
      </c>
      <c r="Y63" s="186" t="e">
        <f t="shared" si="140"/>
        <v>#DIV/0!</v>
      </c>
      <c r="Z63" s="186">
        <f t="shared" ca="1" si="140"/>
        <v>3292.8033377446895</v>
      </c>
      <c r="AA63" s="187"/>
    </row>
    <row r="64" spans="1:57" s="184" customFormat="1" ht="12" customHeight="1">
      <c r="X64" s="208"/>
      <c r="AA64" s="187"/>
    </row>
    <row r="65" spans="1:28" s="184" customFormat="1" ht="12" customHeight="1">
      <c r="A65" s="188" t="s">
        <v>0</v>
      </c>
      <c r="B65" s="189"/>
      <c r="C65" s="287"/>
      <c r="X65" s="208"/>
      <c r="AA65" s="187"/>
    </row>
    <row r="66" spans="1:28" ht="12" customHeight="1">
      <c r="A66" s="179"/>
      <c r="B66" s="183" t="s">
        <v>174</v>
      </c>
      <c r="C66" s="159">
        <v>5.5</v>
      </c>
      <c r="E66" s="190"/>
      <c r="F66" s="191"/>
      <c r="G66" s="179"/>
      <c r="H66" s="179"/>
      <c r="Z66" s="179"/>
      <c r="AB66" s="192"/>
    </row>
    <row r="67" spans="1:28" ht="12" customHeight="1">
      <c r="A67" s="193"/>
      <c r="B67" s="181" t="s">
        <v>203</v>
      </c>
      <c r="C67" s="159">
        <v>6</v>
      </c>
      <c r="E67" s="190"/>
      <c r="F67" s="191"/>
      <c r="G67" s="179"/>
      <c r="H67" s="179"/>
      <c r="Z67" s="193"/>
    </row>
    <row r="68" spans="1:28" s="184" customFormat="1" ht="12" customHeight="1">
      <c r="A68" s="159"/>
      <c r="B68" s="181" t="s">
        <v>67</v>
      </c>
      <c r="C68" s="175">
        <v>3</v>
      </c>
      <c r="D68" s="186"/>
      <c r="E68" s="186"/>
      <c r="F68" s="186"/>
      <c r="G68" s="186"/>
      <c r="H68" s="186"/>
      <c r="I68" s="186"/>
      <c r="J68" s="186"/>
      <c r="K68" s="186"/>
      <c r="L68" s="186"/>
      <c r="M68" s="186"/>
      <c r="N68" s="186"/>
      <c r="O68" s="186"/>
      <c r="P68" s="186"/>
      <c r="Q68" s="186"/>
      <c r="R68" s="186"/>
      <c r="S68" s="186"/>
      <c r="T68" s="186"/>
      <c r="U68" s="186"/>
      <c r="V68" s="186"/>
      <c r="W68" s="186"/>
      <c r="X68" s="210"/>
      <c r="Y68" s="187"/>
      <c r="Z68" s="186"/>
      <c r="AA68" s="187"/>
    </row>
    <row r="69" spans="1:28" s="184" customFormat="1" ht="12" customHeight="1">
      <c r="A69" s="159"/>
      <c r="B69" s="183" t="s">
        <v>80</v>
      </c>
      <c r="C69" s="159">
        <v>2.5</v>
      </c>
      <c r="D69" s="186"/>
      <c r="E69" s="186"/>
      <c r="F69" s="186"/>
      <c r="G69" s="186"/>
      <c r="H69" s="186"/>
      <c r="I69" s="186"/>
      <c r="J69" s="186"/>
      <c r="K69" s="186"/>
      <c r="L69" s="186"/>
      <c r="M69" s="186"/>
      <c r="N69" s="186"/>
      <c r="O69" s="186"/>
      <c r="P69" s="186"/>
      <c r="Q69" s="186"/>
      <c r="R69" s="186"/>
      <c r="S69" s="186"/>
      <c r="T69" s="186"/>
      <c r="U69" s="186"/>
      <c r="V69" s="186"/>
      <c r="W69" s="186"/>
      <c r="X69" s="210"/>
      <c r="Y69" s="187"/>
      <c r="Z69" s="186"/>
      <c r="AA69" s="187"/>
    </row>
    <row r="70" spans="1:28" s="184" customFormat="1" ht="12" customHeight="1">
      <c r="A70" s="190"/>
      <c r="B70" s="183" t="s">
        <v>233</v>
      </c>
      <c r="C70" s="159">
        <v>1</v>
      </c>
      <c r="X70" s="208"/>
      <c r="AA70" s="187"/>
    </row>
    <row r="71" spans="1:28" ht="12" customHeight="1">
      <c r="A71" s="159"/>
      <c r="B71" s="158" t="s">
        <v>148</v>
      </c>
      <c r="C71" s="159">
        <v>1</v>
      </c>
      <c r="E71" s="183"/>
      <c r="F71" s="159"/>
    </row>
    <row r="72" spans="1:28" ht="12" customHeight="1">
      <c r="A72" s="159"/>
      <c r="B72" s="183" t="s">
        <v>166</v>
      </c>
      <c r="C72" s="159">
        <v>1</v>
      </c>
      <c r="E72" s="190"/>
      <c r="F72" s="191"/>
      <c r="G72" s="179"/>
      <c r="H72" s="179"/>
      <c r="Z72" s="190"/>
      <c r="AB72" s="181"/>
    </row>
    <row r="73" spans="1:28" ht="12" customHeight="1">
      <c r="A73" s="159"/>
      <c r="B73" s="183" t="s">
        <v>212</v>
      </c>
      <c r="C73" s="159">
        <v>1</v>
      </c>
      <c r="E73" s="190"/>
      <c r="F73" s="191"/>
      <c r="G73" s="179"/>
      <c r="H73" s="179"/>
      <c r="P73" s="158" t="s">
        <v>19</v>
      </c>
      <c r="Z73" s="159"/>
      <c r="AB73" s="183"/>
    </row>
    <row r="74" spans="1:28" ht="12" customHeight="1">
      <c r="A74" s="190"/>
      <c r="E74" s="190"/>
      <c r="F74" s="191"/>
      <c r="G74" s="179"/>
      <c r="H74" s="179"/>
      <c r="Z74" s="190"/>
    </row>
    <row r="75" spans="1:28" ht="12" customHeight="1">
      <c r="A75" s="159"/>
      <c r="E75" s="190"/>
      <c r="F75" s="191"/>
      <c r="G75" s="179"/>
      <c r="H75" s="179"/>
      <c r="Z75" s="159"/>
    </row>
    <row r="76" spans="1:28" ht="12" customHeight="1">
      <c r="A76" s="162"/>
      <c r="B76" s="181"/>
      <c r="C76" s="194"/>
      <c r="D76" s="194"/>
      <c r="E76" s="195"/>
      <c r="F76" s="191"/>
      <c r="G76" s="179"/>
      <c r="H76" s="179"/>
    </row>
    <row r="77" spans="1:28" ht="12" customHeight="1">
      <c r="A77" s="162"/>
      <c r="B77" s="177"/>
      <c r="C77" s="179"/>
      <c r="D77" s="179"/>
      <c r="E77" s="190"/>
      <c r="F77" s="191"/>
      <c r="G77" s="179"/>
      <c r="H77" s="179"/>
      <c r="P77" s="158" t="s">
        <v>19</v>
      </c>
    </row>
    <row r="78" spans="1:28" ht="12" customHeight="1">
      <c r="B78" s="192"/>
      <c r="C78" s="190"/>
      <c r="D78" s="190"/>
      <c r="E78" s="190"/>
      <c r="F78" s="191"/>
      <c r="G78" s="179"/>
      <c r="H78" s="179"/>
      <c r="P78" s="158" t="s">
        <v>20</v>
      </c>
    </row>
    <row r="79" spans="1:28" ht="12" customHeight="1">
      <c r="A79" s="162"/>
      <c r="B79" s="192"/>
      <c r="C79" s="196"/>
      <c r="D79" s="196"/>
      <c r="E79" s="190"/>
      <c r="F79" s="191"/>
      <c r="G79" s="179"/>
      <c r="H79" s="179"/>
    </row>
    <row r="80" spans="1:28" ht="12" customHeight="1">
      <c r="A80" s="162"/>
      <c r="B80" s="177"/>
      <c r="C80" s="190"/>
      <c r="D80" s="190"/>
      <c r="E80" s="190"/>
      <c r="F80" s="191"/>
      <c r="G80" s="179"/>
      <c r="H80" s="179"/>
    </row>
    <row r="81" spans="2:8" ht="12" customHeight="1">
      <c r="C81" s="190"/>
      <c r="D81" s="190"/>
      <c r="E81" s="190"/>
      <c r="F81" s="191"/>
      <c r="G81" s="179"/>
      <c r="H81" s="179"/>
    </row>
    <row r="82" spans="2:8" ht="12" customHeight="1">
      <c r="B82" s="177"/>
      <c r="C82" s="179"/>
      <c r="D82" s="179"/>
      <c r="E82" s="179"/>
      <c r="F82" s="191"/>
      <c r="G82" s="179"/>
      <c r="H82" s="179"/>
    </row>
    <row r="83" spans="2:8" ht="12" customHeight="1">
      <c r="B83" s="192"/>
      <c r="C83" s="179"/>
      <c r="D83" s="179"/>
      <c r="E83" s="179"/>
      <c r="F83" s="191"/>
      <c r="G83" s="179"/>
      <c r="H83" s="179"/>
    </row>
    <row r="84" spans="2:8" ht="12" customHeight="1">
      <c r="B84" s="177"/>
      <c r="C84" s="179"/>
      <c r="D84" s="179"/>
      <c r="E84" s="179"/>
      <c r="F84" s="191"/>
      <c r="G84" s="179"/>
      <c r="H84" s="179"/>
    </row>
    <row r="85" spans="2:8" ht="12" customHeight="1">
      <c r="B85" s="177"/>
      <c r="E85" s="179"/>
      <c r="F85" s="191"/>
      <c r="G85" s="179"/>
      <c r="H85" s="179"/>
    </row>
    <row r="86" spans="2:8" ht="12" customHeight="1">
      <c r="B86" s="177"/>
      <c r="C86" s="190"/>
      <c r="D86" s="190"/>
      <c r="E86" s="179"/>
      <c r="F86" s="191"/>
      <c r="G86" s="179"/>
      <c r="H86" s="179"/>
    </row>
    <row r="87" spans="2:8" ht="12" customHeight="1">
      <c r="C87" s="179"/>
      <c r="D87" s="179"/>
      <c r="E87" s="179"/>
      <c r="F87" s="191"/>
      <c r="G87" s="179"/>
      <c r="H87" s="179"/>
    </row>
    <row r="90" spans="2:8" ht="12" customHeight="1">
      <c r="B90" s="162"/>
    </row>
    <row r="91" spans="2:8" ht="12" customHeight="1">
      <c r="B91" s="162"/>
    </row>
    <row r="92" spans="2:8" ht="12" customHeight="1">
      <c r="B92" s="162"/>
    </row>
    <row r="93" spans="2:8" ht="12" customHeight="1">
      <c r="B93" s="162"/>
    </row>
    <row r="94" spans="2:8" ht="12" customHeight="1">
      <c r="B94" s="162"/>
      <c r="C94" s="163"/>
      <c r="D94" s="163"/>
    </row>
    <row r="95" spans="2:8" ht="12" customHeight="1">
      <c r="B95" s="162"/>
    </row>
    <row r="96" spans="2:8" ht="12" customHeight="1">
      <c r="B96" s="162"/>
      <c r="C96" s="158"/>
      <c r="D96" s="158"/>
    </row>
    <row r="97" spans="2:4" ht="12" customHeight="1">
      <c r="B97" s="162"/>
      <c r="C97" s="163"/>
      <c r="D97" s="163"/>
    </row>
    <row r="98" spans="2:4" ht="12" customHeight="1">
      <c r="B98" s="197"/>
      <c r="C98" s="158"/>
      <c r="D98" s="158"/>
    </row>
    <row r="99" spans="2:4" ht="12" customHeight="1">
      <c r="B99" s="198"/>
    </row>
    <row r="100" spans="2:4" ht="12" customHeight="1">
      <c r="B100" s="198"/>
      <c r="C100" s="163"/>
      <c r="D100" s="163"/>
    </row>
    <row r="101" spans="2:4" ht="12" customHeight="1">
      <c r="B101" s="172"/>
    </row>
    <row r="102" spans="2:4" ht="12" customHeight="1">
      <c r="B102" s="198"/>
    </row>
    <row r="103" spans="2:4" ht="12" customHeight="1">
      <c r="B103" s="198"/>
      <c r="C103" s="163"/>
      <c r="D103" s="163"/>
    </row>
    <row r="104" spans="2:4" ht="12" customHeight="1">
      <c r="B104" s="172"/>
    </row>
    <row r="105" spans="2:4" ht="12" customHeight="1">
      <c r="B105" s="199"/>
      <c r="C105" s="158"/>
      <c r="D105" s="158"/>
    </row>
    <row r="106" spans="2:4" ht="12" customHeight="1">
      <c r="B106" s="199"/>
      <c r="C106" s="163"/>
      <c r="D106" s="163"/>
    </row>
    <row r="107" spans="2:4" ht="12" customHeight="1">
      <c r="B107" s="172"/>
      <c r="C107" s="158"/>
      <c r="D107" s="158"/>
    </row>
    <row r="108" spans="2:4" ht="12" customHeight="1">
      <c r="B108" s="199"/>
      <c r="C108" s="158"/>
      <c r="D108" s="158"/>
    </row>
    <row r="109" spans="2:4" ht="12" customHeight="1">
      <c r="B109" s="199"/>
    </row>
    <row r="110" spans="2:4" ht="12" customHeight="1">
      <c r="B110" s="172"/>
      <c r="C110" s="158"/>
      <c r="D110" s="158"/>
    </row>
    <row r="111" spans="2:4" ht="12" customHeight="1">
      <c r="B111" s="172"/>
      <c r="C111" s="158"/>
      <c r="D111" s="158"/>
    </row>
    <row r="112" spans="2:4" ht="12" customHeight="1">
      <c r="B112" s="199"/>
      <c r="C112" s="158"/>
      <c r="D112" s="158"/>
    </row>
    <row r="113" spans="2:4" ht="12" customHeight="1">
      <c r="B113" s="172"/>
      <c r="C113" s="158"/>
      <c r="D113" s="158"/>
    </row>
    <row r="114" spans="2:4" ht="12" customHeight="1">
      <c r="B114" s="172"/>
      <c r="C114" s="158"/>
      <c r="D114" s="158"/>
    </row>
    <row r="115" spans="2:4" ht="12" customHeight="1">
      <c r="B115" s="172"/>
      <c r="C115" s="158"/>
      <c r="D115" s="158"/>
    </row>
    <row r="116" spans="2:4" ht="12" customHeight="1">
      <c r="B116" s="172"/>
      <c r="C116" s="158"/>
      <c r="D116" s="158"/>
    </row>
    <row r="117" spans="2:4" ht="12" customHeight="1">
      <c r="B117" s="172"/>
      <c r="C117" s="158"/>
      <c r="D117" s="158"/>
    </row>
    <row r="118" spans="2:4" ht="12" customHeight="1">
      <c r="B118" s="172"/>
      <c r="C118" s="158"/>
      <c r="D118" s="158"/>
    </row>
    <row r="119" spans="2:4" ht="12" customHeight="1">
      <c r="B119" s="172"/>
      <c r="C119" s="158"/>
      <c r="D119" s="158"/>
    </row>
    <row r="120" spans="2:4" ht="12" customHeight="1">
      <c r="B120" s="172"/>
      <c r="C120" s="158"/>
      <c r="D120" s="158"/>
    </row>
    <row r="121" spans="2:4" ht="12" customHeight="1">
      <c r="B121" s="172"/>
      <c r="C121" s="158"/>
      <c r="D121" s="158"/>
    </row>
    <row r="122" spans="2:4" ht="12" customHeight="1">
      <c r="B122" s="172"/>
      <c r="C122" s="158"/>
      <c r="D122" s="158"/>
    </row>
    <row r="123" spans="2:4" ht="12" customHeight="1">
      <c r="B123" s="172"/>
      <c r="C123" s="158"/>
      <c r="D123" s="158"/>
    </row>
    <row r="124" spans="2:4" ht="12" customHeight="1">
      <c r="B124" s="172"/>
      <c r="C124" s="158"/>
      <c r="D124" s="158"/>
    </row>
    <row r="125" spans="2:4" ht="12" customHeight="1">
      <c r="B125" s="172"/>
      <c r="C125" s="158"/>
      <c r="D125" s="158"/>
    </row>
    <row r="126" spans="2:4" ht="12" customHeight="1">
      <c r="B126" s="172"/>
      <c r="C126" s="158"/>
      <c r="D126" s="158"/>
    </row>
    <row r="127" spans="2:4" ht="12" customHeight="1">
      <c r="B127" s="172"/>
      <c r="C127" s="158"/>
      <c r="D127" s="158"/>
    </row>
    <row r="128" spans="2:4" ht="12" customHeight="1">
      <c r="B128" s="172"/>
      <c r="C128" s="158"/>
      <c r="D128" s="158"/>
    </row>
    <row r="129" spans="2:4" ht="12" customHeight="1">
      <c r="B129" s="172"/>
      <c r="C129" s="158"/>
      <c r="D129" s="158"/>
    </row>
    <row r="130" spans="2:4" ht="12" customHeight="1">
      <c r="B130" s="172"/>
      <c r="C130" s="158"/>
      <c r="D130" s="158"/>
    </row>
    <row r="131" spans="2:4" ht="12" customHeight="1">
      <c r="B131" s="172"/>
      <c r="C131" s="158"/>
      <c r="D131" s="158"/>
    </row>
    <row r="132" spans="2:4" ht="12" customHeight="1">
      <c r="B132" s="172"/>
      <c r="C132" s="158"/>
      <c r="D132" s="158"/>
    </row>
    <row r="133" spans="2:4" ht="12" customHeight="1">
      <c r="B133" s="172"/>
      <c r="C133" s="158"/>
      <c r="D133" s="158"/>
    </row>
    <row r="134" spans="2:4" ht="12" customHeight="1">
      <c r="B134" s="172"/>
      <c r="C134" s="158"/>
      <c r="D134" s="158"/>
    </row>
    <row r="135" spans="2:4" ht="12" customHeight="1">
      <c r="B135" s="172"/>
      <c r="C135" s="158"/>
      <c r="D135" s="158"/>
    </row>
    <row r="136" spans="2:4" ht="12" customHeight="1">
      <c r="B136" s="172"/>
      <c r="C136" s="158"/>
      <c r="D136" s="158"/>
    </row>
    <row r="137" spans="2:4" ht="12" customHeight="1">
      <c r="B137" s="172"/>
      <c r="C137" s="158"/>
      <c r="D137" s="158"/>
    </row>
    <row r="138" spans="2:4" ht="12" customHeight="1">
      <c r="B138" s="172"/>
      <c r="C138" s="158"/>
      <c r="D138" s="158"/>
    </row>
    <row r="139" spans="2:4" ht="12" customHeight="1">
      <c r="B139" s="172"/>
      <c r="C139" s="158"/>
      <c r="D139" s="158"/>
    </row>
    <row r="140" spans="2:4" ht="12" customHeight="1">
      <c r="B140" s="172"/>
      <c r="C140" s="158"/>
      <c r="D140" s="158"/>
    </row>
    <row r="141" spans="2:4" ht="12" customHeight="1">
      <c r="B141" s="172"/>
      <c r="C141" s="158"/>
      <c r="D141" s="158"/>
    </row>
    <row r="142" spans="2:4" ht="12" customHeight="1">
      <c r="B142" s="172"/>
      <c r="C142" s="158"/>
      <c r="D142" s="158"/>
    </row>
    <row r="143" spans="2:4" ht="12" customHeight="1">
      <c r="B143" s="172"/>
      <c r="C143" s="158"/>
      <c r="D143" s="158"/>
    </row>
    <row r="144" spans="2:4" ht="12" customHeight="1">
      <c r="B144" s="172"/>
      <c r="C144" s="158"/>
      <c r="D144" s="158"/>
    </row>
    <row r="145" spans="2:4" ht="12" customHeight="1">
      <c r="B145" s="172"/>
      <c r="C145" s="158"/>
      <c r="D145" s="158"/>
    </row>
    <row r="146" spans="2:4" ht="12" customHeight="1">
      <c r="B146" s="172"/>
      <c r="C146" s="158"/>
      <c r="D146" s="158"/>
    </row>
    <row r="147" spans="2:4" ht="12" customHeight="1">
      <c r="B147" s="172"/>
      <c r="C147" s="158"/>
      <c r="D147" s="158"/>
    </row>
    <row r="148" spans="2:4" ht="12" customHeight="1">
      <c r="B148" s="172"/>
      <c r="C148" s="158"/>
      <c r="D148" s="158"/>
    </row>
    <row r="149" spans="2:4" ht="12" customHeight="1">
      <c r="B149" s="172"/>
      <c r="C149" s="158"/>
      <c r="D149" s="158"/>
    </row>
    <row r="150" spans="2:4" ht="12" customHeight="1">
      <c r="B150" s="172"/>
      <c r="C150" s="158"/>
      <c r="D150" s="158"/>
    </row>
    <row r="151" spans="2:4" ht="12" customHeight="1">
      <c r="B151" s="172"/>
      <c r="C151" s="158"/>
      <c r="D151" s="158"/>
    </row>
    <row r="152" spans="2:4" ht="12" customHeight="1">
      <c r="B152" s="172"/>
      <c r="C152" s="158"/>
      <c r="D152" s="158"/>
    </row>
    <row r="153" spans="2:4" ht="12" customHeight="1">
      <c r="B153" s="172"/>
      <c r="C153" s="158"/>
      <c r="D153" s="158"/>
    </row>
    <row r="154" spans="2:4" ht="12" customHeight="1">
      <c r="B154" s="172"/>
      <c r="C154" s="158"/>
      <c r="D154" s="158"/>
    </row>
    <row r="155" spans="2:4" ht="12" customHeight="1">
      <c r="B155" s="172"/>
      <c r="C155" s="158"/>
      <c r="D155" s="158"/>
    </row>
    <row r="156" spans="2:4" ht="12" customHeight="1">
      <c r="B156" s="172"/>
      <c r="C156" s="158"/>
      <c r="D156" s="158"/>
    </row>
    <row r="157" spans="2:4" ht="12" customHeight="1">
      <c r="B157" s="172"/>
      <c r="C157" s="158"/>
      <c r="D157" s="158"/>
    </row>
    <row r="158" spans="2:4" ht="12" customHeight="1">
      <c r="B158" s="172"/>
      <c r="C158" s="158"/>
      <c r="D158" s="158"/>
    </row>
    <row r="159" spans="2:4" ht="12" customHeight="1">
      <c r="B159" s="172"/>
      <c r="C159" s="158"/>
      <c r="D159" s="158"/>
    </row>
    <row r="160" spans="2:4" ht="12" customHeight="1">
      <c r="B160" s="172"/>
      <c r="C160" s="158"/>
      <c r="D160" s="158"/>
    </row>
    <row r="161" spans="2:4" ht="12" customHeight="1">
      <c r="B161" s="172"/>
      <c r="C161" s="158"/>
      <c r="D161" s="158"/>
    </row>
    <row r="162" spans="2:4" ht="12" customHeight="1">
      <c r="B162" s="172"/>
      <c r="C162" s="158"/>
      <c r="D162" s="158"/>
    </row>
    <row r="163" spans="2:4" ht="12" customHeight="1">
      <c r="B163" s="172"/>
      <c r="C163" s="158"/>
      <c r="D163" s="158"/>
    </row>
    <row r="164" spans="2:4" ht="12" customHeight="1">
      <c r="B164" s="172"/>
      <c r="C164" s="158"/>
      <c r="D164" s="158"/>
    </row>
    <row r="165" spans="2:4" ht="12" customHeight="1">
      <c r="B165" s="172"/>
      <c r="C165" s="158"/>
      <c r="D165" s="158"/>
    </row>
    <row r="166" spans="2:4" ht="12" customHeight="1">
      <c r="B166" s="172"/>
      <c r="C166" s="158"/>
      <c r="D166" s="158"/>
    </row>
    <row r="167" spans="2:4" ht="12" customHeight="1">
      <c r="B167" s="172"/>
      <c r="C167" s="158"/>
      <c r="D167" s="158"/>
    </row>
    <row r="168" spans="2:4" ht="12" customHeight="1">
      <c r="B168" s="172"/>
      <c r="C168" s="158"/>
      <c r="D168" s="158"/>
    </row>
    <row r="169" spans="2:4" ht="12" customHeight="1">
      <c r="B169" s="172"/>
      <c r="C169" s="158"/>
      <c r="D169" s="158"/>
    </row>
    <row r="170" spans="2:4" ht="12" customHeight="1">
      <c r="B170" s="172"/>
      <c r="C170" s="158"/>
      <c r="D170" s="158"/>
    </row>
    <row r="171" spans="2:4" ht="12" customHeight="1">
      <c r="B171" s="172"/>
      <c r="C171" s="158"/>
      <c r="D171" s="158"/>
    </row>
    <row r="172" spans="2:4" ht="12" customHeight="1">
      <c r="B172" s="172"/>
      <c r="C172" s="158"/>
      <c r="D172" s="158"/>
    </row>
    <row r="173" spans="2:4" ht="12" customHeight="1">
      <c r="B173" s="172"/>
      <c r="C173" s="158"/>
      <c r="D173" s="158"/>
    </row>
    <row r="174" spans="2:4" ht="12" customHeight="1">
      <c r="B174" s="172"/>
      <c r="C174" s="158"/>
      <c r="D174" s="158"/>
    </row>
    <row r="175" spans="2:4" ht="12" customHeight="1">
      <c r="B175" s="172"/>
      <c r="C175" s="158"/>
      <c r="D175" s="158"/>
    </row>
    <row r="176" spans="2:4" ht="12" customHeight="1">
      <c r="B176" s="172"/>
      <c r="C176" s="158"/>
      <c r="D176" s="158"/>
    </row>
    <row r="177" spans="2:4" ht="12" customHeight="1">
      <c r="B177" s="172"/>
      <c r="C177" s="158"/>
      <c r="D177" s="158"/>
    </row>
    <row r="178" spans="2:4" ht="12" customHeight="1">
      <c r="B178" s="172"/>
      <c r="C178" s="158"/>
      <c r="D178" s="158"/>
    </row>
    <row r="179" spans="2:4" ht="12" customHeight="1">
      <c r="B179" s="172"/>
      <c r="C179" s="158"/>
      <c r="D179" s="158"/>
    </row>
    <row r="180" spans="2:4" ht="12" customHeight="1">
      <c r="B180" s="172"/>
      <c r="C180" s="158"/>
      <c r="D180" s="158"/>
    </row>
    <row r="181" spans="2:4" ht="12" customHeight="1">
      <c r="B181" s="172"/>
      <c r="C181" s="158"/>
      <c r="D181" s="158"/>
    </row>
    <row r="182" spans="2:4" ht="12" customHeight="1">
      <c r="B182" s="172"/>
      <c r="C182" s="158"/>
      <c r="D182" s="158"/>
    </row>
    <row r="183" spans="2:4" ht="12" customHeight="1">
      <c r="B183" s="172"/>
      <c r="C183" s="158"/>
      <c r="D183" s="158"/>
    </row>
    <row r="184" spans="2:4" ht="12" customHeight="1">
      <c r="B184" s="172"/>
      <c r="C184" s="158"/>
      <c r="D184" s="158"/>
    </row>
    <row r="185" spans="2:4" ht="12" customHeight="1">
      <c r="B185" s="172"/>
      <c r="C185" s="158"/>
      <c r="D185" s="158"/>
    </row>
    <row r="186" spans="2:4" ht="12" customHeight="1">
      <c r="B186" s="172"/>
      <c r="C186" s="158"/>
      <c r="D186" s="158"/>
    </row>
    <row r="187" spans="2:4" ht="12" customHeight="1">
      <c r="B187" s="172"/>
      <c r="C187" s="158"/>
      <c r="D187" s="158"/>
    </row>
    <row r="188" spans="2:4" ht="12" customHeight="1">
      <c r="B188" s="172"/>
      <c r="C188" s="158"/>
      <c r="D188" s="158"/>
    </row>
    <row r="189" spans="2:4" ht="12" customHeight="1">
      <c r="B189" s="172"/>
      <c r="C189" s="158"/>
      <c r="D189" s="158"/>
    </row>
    <row r="190" spans="2:4" ht="12" customHeight="1">
      <c r="B190" s="172"/>
      <c r="C190" s="158"/>
      <c r="D190" s="158"/>
    </row>
    <row r="191" spans="2:4" ht="12" customHeight="1">
      <c r="B191" s="172"/>
      <c r="C191" s="158"/>
      <c r="D191" s="158"/>
    </row>
    <row r="192" spans="2:4" ht="12" customHeight="1">
      <c r="B192" s="172"/>
      <c r="C192" s="158"/>
      <c r="D192" s="158"/>
    </row>
    <row r="193" spans="2:4" ht="12" customHeight="1">
      <c r="B193" s="172"/>
      <c r="C193" s="158"/>
      <c r="D193" s="158"/>
    </row>
    <row r="194" spans="2:4" ht="12" customHeight="1">
      <c r="B194" s="172"/>
      <c r="C194" s="158"/>
      <c r="D194" s="158"/>
    </row>
    <row r="195" spans="2:4" ht="12" customHeight="1">
      <c r="B195" s="172"/>
      <c r="C195" s="158"/>
      <c r="D195" s="158"/>
    </row>
    <row r="196" spans="2:4" ht="12" customHeight="1">
      <c r="B196" s="172"/>
      <c r="C196" s="158"/>
      <c r="D196" s="158"/>
    </row>
    <row r="197" spans="2:4" ht="12" customHeight="1">
      <c r="B197" s="172"/>
      <c r="C197" s="158"/>
      <c r="D197" s="158"/>
    </row>
    <row r="198" spans="2:4" ht="12" customHeight="1">
      <c r="B198" s="172"/>
      <c r="C198" s="158"/>
      <c r="D198" s="158"/>
    </row>
    <row r="199" spans="2:4" ht="12" customHeight="1">
      <c r="B199" s="172"/>
      <c r="C199" s="158"/>
      <c r="D199" s="158"/>
    </row>
    <row r="200" spans="2:4" ht="12" customHeight="1">
      <c r="B200" s="172"/>
      <c r="C200" s="158"/>
      <c r="D200" s="158"/>
    </row>
    <row r="201" spans="2:4" ht="12" customHeight="1">
      <c r="B201" s="172"/>
      <c r="C201" s="158"/>
      <c r="D201" s="158"/>
    </row>
    <row r="202" spans="2:4" ht="12" customHeight="1">
      <c r="B202" s="172"/>
      <c r="C202" s="158"/>
      <c r="D202" s="158"/>
    </row>
    <row r="203" spans="2:4" ht="12" customHeight="1">
      <c r="B203" s="172"/>
      <c r="C203" s="158"/>
      <c r="D203" s="158"/>
    </row>
    <row r="204" spans="2:4" ht="12" customHeight="1">
      <c r="B204" s="172"/>
      <c r="C204" s="158"/>
      <c r="D204" s="158"/>
    </row>
    <row r="205" spans="2:4" ht="12" customHeight="1">
      <c r="B205" s="172"/>
      <c r="C205" s="158"/>
      <c r="D205" s="158"/>
    </row>
    <row r="206" spans="2:4" ht="12" customHeight="1">
      <c r="B206" s="172"/>
      <c r="C206" s="158"/>
      <c r="D206" s="158"/>
    </row>
    <row r="207" spans="2:4" ht="12" customHeight="1">
      <c r="B207" s="172"/>
      <c r="C207" s="158"/>
      <c r="D207" s="158"/>
    </row>
    <row r="208" spans="2:4" ht="12" customHeight="1">
      <c r="B208" s="172"/>
      <c r="C208" s="158"/>
      <c r="D208" s="158"/>
    </row>
    <row r="209" spans="2:4" ht="12" customHeight="1">
      <c r="B209" s="172"/>
      <c r="C209" s="158"/>
      <c r="D209" s="158"/>
    </row>
    <row r="210" spans="2:4" ht="12" customHeight="1">
      <c r="B210" s="172"/>
      <c r="C210" s="158"/>
      <c r="D210" s="158"/>
    </row>
    <row r="211" spans="2:4" ht="12" customHeight="1">
      <c r="B211" s="172"/>
      <c r="C211" s="158"/>
      <c r="D211" s="158"/>
    </row>
    <row r="212" spans="2:4" ht="12" customHeight="1">
      <c r="B212" s="172"/>
      <c r="C212" s="158"/>
      <c r="D212" s="158"/>
    </row>
    <row r="213" spans="2:4" ht="12" customHeight="1">
      <c r="B213" s="172"/>
      <c r="C213" s="158"/>
      <c r="D213" s="158"/>
    </row>
    <row r="214" spans="2:4" ht="12" customHeight="1">
      <c r="B214" s="172"/>
      <c r="C214" s="158"/>
      <c r="D214" s="158"/>
    </row>
    <row r="215" spans="2:4" ht="12" customHeight="1">
      <c r="B215" s="172"/>
      <c r="C215" s="158"/>
      <c r="D215" s="158"/>
    </row>
    <row r="216" spans="2:4" ht="12" customHeight="1">
      <c r="B216" s="172"/>
      <c r="C216" s="158"/>
      <c r="D216" s="158"/>
    </row>
    <row r="217" spans="2:4" ht="12" customHeight="1">
      <c r="B217" s="172"/>
      <c r="C217" s="158"/>
      <c r="D217" s="158"/>
    </row>
    <row r="218" spans="2:4" ht="12" customHeight="1">
      <c r="B218" s="172"/>
      <c r="C218" s="158"/>
      <c r="D218" s="158"/>
    </row>
    <row r="219" spans="2:4" ht="12" customHeight="1">
      <c r="B219" s="172"/>
      <c r="C219" s="158"/>
      <c r="D219" s="158"/>
    </row>
    <row r="220" spans="2:4" ht="12" customHeight="1">
      <c r="B220" s="172"/>
      <c r="C220" s="158"/>
      <c r="D220" s="158"/>
    </row>
    <row r="221" spans="2:4" ht="12" customHeight="1">
      <c r="B221" s="172"/>
      <c r="C221" s="158"/>
      <c r="D221" s="158"/>
    </row>
    <row r="222" spans="2:4" ht="12" customHeight="1">
      <c r="B222" s="172"/>
      <c r="C222" s="158"/>
      <c r="D222" s="158"/>
    </row>
    <row r="223" spans="2:4" ht="12" customHeight="1">
      <c r="B223" s="172"/>
      <c r="C223" s="158"/>
      <c r="D223" s="158"/>
    </row>
    <row r="224" spans="2:4" ht="12" customHeight="1">
      <c r="B224" s="172"/>
      <c r="C224" s="158"/>
      <c r="D224" s="158"/>
    </row>
    <row r="225" spans="2:4" ht="12" customHeight="1">
      <c r="B225" s="172"/>
      <c r="C225" s="158"/>
      <c r="D225" s="158"/>
    </row>
    <row r="226" spans="2:4" ht="12" customHeight="1">
      <c r="B226" s="172"/>
      <c r="C226" s="158"/>
      <c r="D226" s="158"/>
    </row>
    <row r="227" spans="2:4" ht="12" customHeight="1">
      <c r="B227" s="172"/>
      <c r="C227" s="158"/>
      <c r="D227" s="158"/>
    </row>
    <row r="228" spans="2:4" ht="12" customHeight="1">
      <c r="B228" s="172"/>
      <c r="C228" s="158"/>
      <c r="D228" s="158"/>
    </row>
    <row r="229" spans="2:4" ht="12" customHeight="1">
      <c r="B229" s="172"/>
      <c r="C229" s="158"/>
      <c r="D229" s="158"/>
    </row>
    <row r="230" spans="2:4" ht="12" customHeight="1">
      <c r="B230" s="172"/>
      <c r="C230" s="158"/>
      <c r="D230" s="158"/>
    </row>
    <row r="231" spans="2:4" ht="12" customHeight="1">
      <c r="B231" s="172"/>
      <c r="C231" s="158"/>
      <c r="D231" s="158"/>
    </row>
    <row r="232" spans="2:4" ht="12" customHeight="1">
      <c r="B232" s="172"/>
      <c r="C232" s="158"/>
      <c r="D232" s="158"/>
    </row>
    <row r="233" spans="2:4" ht="12" customHeight="1">
      <c r="B233" s="172"/>
      <c r="C233" s="158"/>
      <c r="D233" s="158"/>
    </row>
    <row r="234" spans="2:4" ht="12" customHeight="1">
      <c r="B234" s="172"/>
      <c r="C234" s="158"/>
      <c r="D234" s="158"/>
    </row>
    <row r="235" spans="2:4" ht="12" customHeight="1">
      <c r="B235" s="172"/>
      <c r="C235" s="158"/>
      <c r="D235" s="158"/>
    </row>
    <row r="236" spans="2:4" ht="12" customHeight="1">
      <c r="B236" s="172"/>
      <c r="C236" s="158"/>
      <c r="D236" s="158"/>
    </row>
    <row r="237" spans="2:4" ht="12" customHeight="1">
      <c r="B237" s="172"/>
      <c r="C237" s="158"/>
      <c r="D237" s="158"/>
    </row>
    <row r="238" spans="2:4" ht="12" customHeight="1">
      <c r="B238" s="172"/>
      <c r="C238" s="158"/>
      <c r="D238" s="158"/>
    </row>
    <row r="239" spans="2:4" ht="12" customHeight="1">
      <c r="B239" s="172"/>
      <c r="C239" s="158"/>
      <c r="D239" s="158"/>
    </row>
    <row r="240" spans="2:4" ht="12" customHeight="1">
      <c r="B240" s="172"/>
      <c r="C240" s="158"/>
      <c r="D240" s="158"/>
    </row>
    <row r="241" spans="2:4" ht="12" customHeight="1">
      <c r="B241" s="172"/>
      <c r="C241" s="158"/>
      <c r="D241" s="158"/>
    </row>
    <row r="242" spans="2:4" ht="12" customHeight="1">
      <c r="B242" s="172"/>
      <c r="C242" s="158"/>
      <c r="D242" s="158"/>
    </row>
    <row r="243" spans="2:4" ht="12" customHeight="1">
      <c r="B243" s="172"/>
      <c r="C243" s="158"/>
      <c r="D243" s="158"/>
    </row>
    <row r="244" spans="2:4" ht="12" customHeight="1">
      <c r="B244" s="172"/>
      <c r="C244" s="158"/>
      <c r="D244" s="158"/>
    </row>
    <row r="245" spans="2:4" ht="12" customHeight="1">
      <c r="B245" s="172"/>
      <c r="C245" s="158"/>
      <c r="D245" s="158"/>
    </row>
    <row r="246" spans="2:4" ht="12" customHeight="1">
      <c r="B246" s="172"/>
      <c r="C246" s="158"/>
      <c r="D246" s="158"/>
    </row>
    <row r="247" spans="2:4" ht="12" customHeight="1">
      <c r="B247" s="172"/>
      <c r="C247" s="158"/>
      <c r="D247" s="158"/>
    </row>
    <row r="248" spans="2:4" ht="12" customHeight="1">
      <c r="B248" s="172"/>
      <c r="C248" s="158"/>
      <c r="D248" s="158"/>
    </row>
    <row r="249" spans="2:4" ht="12" customHeight="1">
      <c r="B249" s="172"/>
      <c r="C249" s="158"/>
      <c r="D249" s="158"/>
    </row>
    <row r="250" spans="2:4" ht="12" customHeight="1">
      <c r="B250" s="172"/>
      <c r="C250" s="158"/>
      <c r="D250" s="158"/>
    </row>
    <row r="251" spans="2:4" ht="12" customHeight="1">
      <c r="B251" s="172"/>
      <c r="C251" s="158"/>
      <c r="D251" s="158"/>
    </row>
    <row r="252" spans="2:4" ht="12" customHeight="1">
      <c r="B252" s="172"/>
      <c r="C252" s="158"/>
      <c r="D252" s="158"/>
    </row>
    <row r="253" spans="2:4" ht="12" customHeight="1">
      <c r="B253" s="172"/>
      <c r="C253" s="158"/>
      <c r="D253" s="158"/>
    </row>
    <row r="254" spans="2:4" ht="12" customHeight="1">
      <c r="B254" s="172"/>
      <c r="C254" s="158"/>
      <c r="D254" s="158"/>
    </row>
    <row r="255" spans="2:4" ht="12" customHeight="1">
      <c r="B255" s="172"/>
      <c r="C255" s="158"/>
      <c r="D255" s="158"/>
    </row>
    <row r="256" spans="2:4" ht="12" customHeight="1">
      <c r="B256" s="172"/>
      <c r="C256" s="158"/>
      <c r="D256" s="158"/>
    </row>
    <row r="257" spans="2:4" ht="12" customHeight="1">
      <c r="B257" s="172"/>
      <c r="C257" s="158"/>
      <c r="D257" s="158"/>
    </row>
    <row r="258" spans="2:4" ht="12" customHeight="1">
      <c r="B258" s="172"/>
      <c r="C258" s="158"/>
      <c r="D258" s="158"/>
    </row>
    <row r="259" spans="2:4" ht="12" customHeight="1">
      <c r="B259" s="172"/>
      <c r="C259" s="158"/>
      <c r="D259" s="158"/>
    </row>
    <row r="260" spans="2:4" ht="12" customHeight="1">
      <c r="B260" s="172"/>
      <c r="C260" s="158"/>
      <c r="D260" s="158"/>
    </row>
    <row r="261" spans="2:4" ht="12" customHeight="1">
      <c r="B261" s="172"/>
      <c r="C261" s="158"/>
      <c r="D261" s="158"/>
    </row>
    <row r="262" spans="2:4" ht="12" customHeight="1">
      <c r="B262" s="172"/>
      <c r="C262" s="158"/>
      <c r="D262" s="158"/>
    </row>
    <row r="263" spans="2:4" ht="12" customHeight="1">
      <c r="B263" s="172"/>
      <c r="C263" s="158"/>
      <c r="D263" s="158"/>
    </row>
    <row r="264" spans="2:4" ht="12" customHeight="1">
      <c r="B264" s="172"/>
      <c r="C264" s="158"/>
      <c r="D264" s="158"/>
    </row>
    <row r="265" spans="2:4" ht="12" customHeight="1">
      <c r="B265" s="172"/>
      <c r="C265" s="158"/>
      <c r="D265" s="158"/>
    </row>
    <row r="266" spans="2:4" ht="12" customHeight="1">
      <c r="B266" s="172"/>
      <c r="C266" s="158"/>
      <c r="D266" s="158"/>
    </row>
    <row r="267" spans="2:4" ht="12" customHeight="1">
      <c r="B267" s="172"/>
      <c r="C267" s="158"/>
      <c r="D267" s="158"/>
    </row>
    <row r="268" spans="2:4" ht="12" customHeight="1">
      <c r="B268" s="172"/>
      <c r="C268" s="158"/>
      <c r="D268" s="158"/>
    </row>
    <row r="269" spans="2:4" ht="12" customHeight="1">
      <c r="B269" s="172"/>
      <c r="C269" s="158"/>
      <c r="D269" s="158"/>
    </row>
    <row r="270" spans="2:4" ht="12" customHeight="1">
      <c r="B270" s="172"/>
      <c r="C270" s="158"/>
      <c r="D270" s="158"/>
    </row>
    <row r="271" spans="2:4" ht="12" customHeight="1">
      <c r="B271" s="172"/>
      <c r="C271" s="158"/>
      <c r="D271" s="158"/>
    </row>
    <row r="272" spans="2:4" ht="12" customHeight="1">
      <c r="B272" s="172"/>
      <c r="C272" s="158"/>
      <c r="D272" s="158"/>
    </row>
    <row r="273" spans="2:4" ht="12" customHeight="1">
      <c r="B273" s="172"/>
      <c r="C273" s="158"/>
      <c r="D273" s="158"/>
    </row>
    <row r="274" spans="2:4" ht="12" customHeight="1">
      <c r="B274" s="172"/>
      <c r="C274" s="158"/>
      <c r="D274" s="158"/>
    </row>
    <row r="275" spans="2:4" ht="12" customHeight="1">
      <c r="B275" s="172"/>
      <c r="C275" s="158"/>
      <c r="D275" s="158"/>
    </row>
    <row r="276" spans="2:4" ht="12" customHeight="1">
      <c r="B276" s="172"/>
      <c r="C276" s="158"/>
      <c r="D276" s="158"/>
    </row>
    <row r="277" spans="2:4" ht="12" customHeight="1">
      <c r="B277" s="172"/>
      <c r="C277" s="158"/>
      <c r="D277" s="158"/>
    </row>
    <row r="278" spans="2:4" ht="12" customHeight="1">
      <c r="B278" s="172"/>
      <c r="C278" s="158"/>
      <c r="D278" s="158"/>
    </row>
    <row r="279" spans="2:4" ht="12" customHeight="1">
      <c r="B279" s="172"/>
      <c r="C279" s="158"/>
      <c r="D279" s="158"/>
    </row>
    <row r="280" spans="2:4" ht="12" customHeight="1">
      <c r="B280" s="172"/>
      <c r="C280" s="158"/>
      <c r="D280" s="158"/>
    </row>
    <row r="281" spans="2:4" ht="12" customHeight="1">
      <c r="B281" s="172"/>
      <c r="C281" s="158"/>
      <c r="D281" s="158"/>
    </row>
    <row r="282" spans="2:4" ht="12" customHeight="1">
      <c r="B282" s="172"/>
      <c r="C282" s="158"/>
      <c r="D282" s="158"/>
    </row>
    <row r="283" spans="2:4" ht="12" customHeight="1">
      <c r="B283" s="172"/>
      <c r="C283" s="158"/>
      <c r="D283" s="158"/>
    </row>
    <row r="284" spans="2:4" ht="12" customHeight="1">
      <c r="B284" s="172"/>
      <c r="C284" s="158"/>
      <c r="D284" s="158"/>
    </row>
    <row r="285" spans="2:4" ht="12" customHeight="1">
      <c r="B285" s="172"/>
      <c r="C285" s="158"/>
      <c r="D285" s="158"/>
    </row>
    <row r="286" spans="2:4" ht="12" customHeight="1">
      <c r="B286" s="172"/>
      <c r="C286" s="158"/>
      <c r="D286" s="158"/>
    </row>
    <row r="287" spans="2:4" ht="12" customHeight="1">
      <c r="B287" s="172"/>
      <c r="C287" s="158"/>
      <c r="D287" s="158"/>
    </row>
    <row r="288" spans="2:4" ht="12" customHeight="1">
      <c r="B288" s="172"/>
      <c r="C288" s="158"/>
      <c r="D288" s="158"/>
    </row>
    <row r="289" spans="2:4" ht="12" customHeight="1">
      <c r="B289" s="172"/>
      <c r="C289" s="158"/>
      <c r="D289" s="158"/>
    </row>
    <row r="290" spans="2:4" ht="12" customHeight="1">
      <c r="B290" s="172"/>
      <c r="C290" s="158"/>
      <c r="D290" s="158"/>
    </row>
    <row r="291" spans="2:4" ht="12" customHeight="1">
      <c r="B291" s="172"/>
      <c r="C291" s="158"/>
      <c r="D291" s="158"/>
    </row>
    <row r="292" spans="2:4" ht="12" customHeight="1">
      <c r="B292" s="172"/>
      <c r="C292" s="158"/>
      <c r="D292" s="158"/>
    </row>
    <row r="293" spans="2:4" ht="12" customHeight="1">
      <c r="B293" s="172"/>
      <c r="C293" s="158"/>
      <c r="D293" s="158"/>
    </row>
    <row r="294" spans="2:4" ht="12" customHeight="1">
      <c r="B294" s="172"/>
      <c r="C294" s="158"/>
      <c r="D294" s="158"/>
    </row>
    <row r="295" spans="2:4" ht="12" customHeight="1">
      <c r="B295" s="172"/>
      <c r="C295" s="158"/>
      <c r="D295" s="158"/>
    </row>
    <row r="296" spans="2:4" ht="12" customHeight="1">
      <c r="B296" s="172"/>
      <c r="C296" s="158"/>
      <c r="D296" s="158"/>
    </row>
    <row r="297" spans="2:4" ht="12" customHeight="1">
      <c r="B297" s="172"/>
      <c r="C297" s="158"/>
      <c r="D297" s="158"/>
    </row>
    <row r="298" spans="2:4" ht="12" customHeight="1">
      <c r="B298" s="172"/>
      <c r="C298" s="158"/>
      <c r="D298" s="158"/>
    </row>
    <row r="299" spans="2:4" ht="12" customHeight="1">
      <c r="B299" s="172"/>
      <c r="C299" s="158"/>
      <c r="D299" s="158"/>
    </row>
    <row r="300" spans="2:4" ht="12" customHeight="1">
      <c r="B300" s="172"/>
      <c r="C300" s="158"/>
      <c r="D300" s="158"/>
    </row>
    <row r="301" spans="2:4" ht="12" customHeight="1">
      <c r="B301" s="172"/>
      <c r="C301" s="158"/>
      <c r="D301" s="158"/>
    </row>
    <row r="302" spans="2:4" ht="12" customHeight="1">
      <c r="B302" s="172"/>
      <c r="C302" s="158"/>
      <c r="D302" s="158"/>
    </row>
    <row r="303" spans="2:4" ht="12" customHeight="1">
      <c r="B303" s="172"/>
      <c r="C303" s="158"/>
      <c r="D303" s="158"/>
    </row>
    <row r="304" spans="2:4" ht="12" customHeight="1">
      <c r="B304" s="172"/>
      <c r="C304" s="158"/>
      <c r="D304" s="158"/>
    </row>
    <row r="305" spans="2:4" ht="12" customHeight="1">
      <c r="B305" s="172"/>
      <c r="C305" s="158"/>
      <c r="D305" s="158"/>
    </row>
    <row r="306" spans="2:4" ht="12" customHeight="1">
      <c r="B306" s="172"/>
      <c r="C306" s="158"/>
      <c r="D306" s="158"/>
    </row>
    <row r="307" spans="2:4" ht="12" customHeight="1">
      <c r="B307" s="172"/>
      <c r="C307" s="158"/>
      <c r="D307" s="158"/>
    </row>
    <row r="308" spans="2:4" ht="12" customHeight="1">
      <c r="B308" s="172"/>
      <c r="C308" s="158"/>
      <c r="D308" s="158"/>
    </row>
    <row r="309" spans="2:4" ht="12" customHeight="1">
      <c r="B309" s="172"/>
      <c r="C309" s="158"/>
      <c r="D309" s="158"/>
    </row>
    <row r="310" spans="2:4" ht="12" customHeight="1">
      <c r="B310" s="172"/>
      <c r="C310" s="158"/>
      <c r="D310" s="158"/>
    </row>
    <row r="311" spans="2:4" ht="12" customHeight="1">
      <c r="B311" s="172"/>
      <c r="C311" s="158"/>
      <c r="D311" s="158"/>
    </row>
    <row r="312" spans="2:4" ht="12" customHeight="1">
      <c r="B312" s="172"/>
      <c r="C312" s="158"/>
      <c r="D312" s="158"/>
    </row>
    <row r="313" spans="2:4" ht="12" customHeight="1">
      <c r="B313" s="172"/>
      <c r="C313" s="158"/>
      <c r="D313" s="158"/>
    </row>
    <row r="314" spans="2:4" ht="12" customHeight="1">
      <c r="B314" s="172"/>
      <c r="C314" s="158"/>
      <c r="D314" s="158"/>
    </row>
    <row r="315" spans="2:4" ht="12" customHeight="1">
      <c r="B315" s="172"/>
      <c r="C315" s="158"/>
      <c r="D315" s="158"/>
    </row>
    <row r="316" spans="2:4" ht="12" customHeight="1">
      <c r="B316" s="172"/>
      <c r="C316" s="158"/>
      <c r="D316" s="158"/>
    </row>
    <row r="317" spans="2:4" ht="12" customHeight="1">
      <c r="B317" s="172"/>
      <c r="C317" s="158"/>
      <c r="D317" s="158"/>
    </row>
    <row r="318" spans="2:4" ht="12" customHeight="1">
      <c r="B318" s="172"/>
      <c r="C318" s="158"/>
      <c r="D318" s="158"/>
    </row>
    <row r="319" spans="2:4" ht="12" customHeight="1">
      <c r="B319" s="172"/>
      <c r="C319" s="158"/>
      <c r="D319" s="158"/>
    </row>
    <row r="320" spans="2:4" ht="12" customHeight="1">
      <c r="B320" s="172"/>
      <c r="C320" s="158"/>
      <c r="D320" s="158"/>
    </row>
    <row r="321" spans="2:4" ht="12" customHeight="1">
      <c r="B321" s="172"/>
      <c r="C321" s="158"/>
      <c r="D321" s="158"/>
    </row>
    <row r="322" spans="2:4" ht="12" customHeight="1">
      <c r="B322" s="172"/>
      <c r="C322" s="158"/>
      <c r="D322" s="158"/>
    </row>
    <row r="323" spans="2:4" ht="12" customHeight="1">
      <c r="B323" s="172"/>
      <c r="C323" s="158"/>
      <c r="D323" s="158"/>
    </row>
    <row r="324" spans="2:4" ht="12" customHeight="1">
      <c r="B324" s="172"/>
      <c r="C324" s="158"/>
      <c r="D324" s="158"/>
    </row>
    <row r="325" spans="2:4" ht="12" customHeight="1">
      <c r="B325" s="172"/>
      <c r="C325" s="158"/>
      <c r="D325" s="158"/>
    </row>
    <row r="326" spans="2:4" ht="12" customHeight="1">
      <c r="B326" s="172"/>
      <c r="C326" s="158"/>
      <c r="D326" s="158"/>
    </row>
    <row r="327" spans="2:4" ht="12" customHeight="1">
      <c r="B327" s="172"/>
      <c r="C327" s="158"/>
      <c r="D327" s="158"/>
    </row>
    <row r="328" spans="2:4" ht="12" customHeight="1">
      <c r="B328" s="172"/>
      <c r="C328" s="158"/>
      <c r="D328" s="158"/>
    </row>
    <row r="329" spans="2:4" ht="12" customHeight="1">
      <c r="B329" s="172"/>
      <c r="C329" s="158"/>
      <c r="D329" s="158"/>
    </row>
    <row r="330" spans="2:4" ht="12" customHeight="1">
      <c r="B330" s="172"/>
      <c r="C330" s="158"/>
      <c r="D330" s="158"/>
    </row>
    <row r="331" spans="2:4" ht="12" customHeight="1">
      <c r="B331" s="172"/>
      <c r="C331" s="158"/>
      <c r="D331" s="158"/>
    </row>
    <row r="332" spans="2:4" ht="12" customHeight="1">
      <c r="B332" s="172"/>
      <c r="C332" s="158"/>
      <c r="D332" s="158"/>
    </row>
    <row r="333" spans="2:4" ht="12" customHeight="1">
      <c r="B333" s="172"/>
      <c r="C333" s="158"/>
      <c r="D333" s="158"/>
    </row>
    <row r="334" spans="2:4" ht="12" customHeight="1">
      <c r="B334" s="172"/>
      <c r="C334" s="158"/>
      <c r="D334" s="158"/>
    </row>
    <row r="335" spans="2:4" ht="12" customHeight="1">
      <c r="B335" s="172"/>
      <c r="C335" s="158"/>
      <c r="D335" s="158"/>
    </row>
    <row r="336" spans="2:4" ht="12" customHeight="1">
      <c r="B336" s="172"/>
      <c r="C336" s="158"/>
      <c r="D336" s="158"/>
    </row>
    <row r="337" spans="2:4" ht="12" customHeight="1">
      <c r="B337" s="172"/>
      <c r="C337" s="158"/>
      <c r="D337" s="158"/>
    </row>
    <row r="338" spans="2:4" ht="12" customHeight="1">
      <c r="B338" s="172"/>
      <c r="C338" s="158"/>
      <c r="D338" s="158"/>
    </row>
  </sheetData>
  <phoneticPr fontId="0" type="noConversion"/>
  <conditionalFormatting sqref="C50:C61">
    <cfRule type="top10" dxfId="20" priority="23" rank="1"/>
  </conditionalFormatting>
  <conditionalFormatting sqref="D50:D61">
    <cfRule type="top10" dxfId="19" priority="22" rank="1"/>
  </conditionalFormatting>
  <conditionalFormatting sqref="E50:E61">
    <cfRule type="top10" dxfId="18" priority="19" rank="1"/>
  </conditionalFormatting>
  <conditionalFormatting sqref="F50:F60">
    <cfRule type="top10" dxfId="17" priority="18" rank="1"/>
  </conditionalFormatting>
  <conditionalFormatting sqref="G50:G59">
    <cfRule type="top10" dxfId="16" priority="17" rank="1"/>
  </conditionalFormatting>
  <conditionalFormatting sqref="H50:H60">
    <cfRule type="top10" dxfId="15" priority="16" rank="1"/>
  </conditionalFormatting>
  <conditionalFormatting sqref="I50:I60">
    <cfRule type="top10" dxfId="14" priority="15" rank="1"/>
  </conditionalFormatting>
  <conditionalFormatting sqref="J50:J60">
    <cfRule type="top10" dxfId="13" priority="14" rank="1"/>
  </conditionalFormatting>
  <conditionalFormatting sqref="K50:K60">
    <cfRule type="top10" dxfId="12" priority="13" rank="1"/>
  </conditionalFormatting>
  <conditionalFormatting sqref="L50:L60">
    <cfRule type="top10" dxfId="11" priority="12" rank="1"/>
  </conditionalFormatting>
  <conditionalFormatting sqref="M50:M60">
    <cfRule type="top10" dxfId="10" priority="11" rank="1"/>
  </conditionalFormatting>
  <conditionalFormatting sqref="N50:N60">
    <cfRule type="top10" dxfId="9" priority="10" rank="1"/>
  </conditionalFormatting>
  <conditionalFormatting sqref="O50:O60">
    <cfRule type="top10" dxfId="8" priority="9" rank="1"/>
  </conditionalFormatting>
  <conditionalFormatting sqref="P50:P60">
    <cfRule type="top10" dxfId="7" priority="8" rank="1"/>
  </conditionalFormatting>
  <conditionalFormatting sqref="Q50:Q60">
    <cfRule type="top10" dxfId="6" priority="7" rank="1"/>
  </conditionalFormatting>
  <conditionalFormatting sqref="R50:R60">
    <cfRule type="top10" dxfId="5" priority="6" rank="1"/>
  </conditionalFormatting>
  <conditionalFormatting sqref="S50:S60">
    <cfRule type="top10" dxfId="4" priority="5" rank="1"/>
  </conditionalFormatting>
  <conditionalFormatting sqref="T50:T60">
    <cfRule type="top10" dxfId="3" priority="4" rank="1"/>
  </conditionalFormatting>
  <conditionalFormatting sqref="U50:U60">
    <cfRule type="top10" dxfId="2" priority="3" rank="1"/>
  </conditionalFormatting>
  <conditionalFormatting sqref="V50:V60">
    <cfRule type="top10" dxfId="1" priority="2" rank="1"/>
  </conditionalFormatting>
  <conditionalFormatting sqref="W50:W60">
    <cfRule type="top10" dxfId="0" priority="1"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enableFormatConditionsCalculation="0">
    <tabColor indexed="39"/>
  </sheetPr>
  <dimension ref="B1:AA56"/>
  <sheetViews>
    <sheetView showZeros="0" workbookViewId="0">
      <selection activeCell="C6" sqref="C6"/>
    </sheetView>
  </sheetViews>
  <sheetFormatPr defaultRowHeight="12.75"/>
  <cols>
    <col min="1" max="1" width="2.7109375" style="158" customWidth="1"/>
    <col min="2" max="2" width="8.85546875" style="158" customWidth="1"/>
    <col min="3" max="3" width="13" style="158"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62" t="s">
        <v>148</v>
      </c>
      <c r="D1" s="179"/>
    </row>
    <row r="2" spans="2:27">
      <c r="C2" s="162"/>
      <c r="G2" s="179"/>
    </row>
    <row r="3" spans="2:27" s="177" customFormat="1" ht="13.5" thickBot="1">
      <c r="C3" s="276" t="s">
        <v>149</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ht="13.5" thickTop="1">
      <c r="B4" s="216" t="s">
        <v>145</v>
      </c>
      <c r="C4" s="217" t="s">
        <v>79</v>
      </c>
      <c r="D4" s="159">
        <f t="shared" ref="D4:M13" si="0">INDEX(scorematrix,MATCH($C4,renners,0),MATCH(D$3,etappes,0))</f>
        <v>50</v>
      </c>
      <c r="E4" s="159">
        <f t="shared" si="0"/>
        <v>45</v>
      </c>
      <c r="F4" s="159">
        <f t="shared" si="0"/>
        <v>13</v>
      </c>
      <c r="G4" s="159">
        <f t="shared" si="0"/>
        <v>38</v>
      </c>
      <c r="H4" s="159">
        <f t="shared" si="0"/>
        <v>10</v>
      </c>
      <c r="I4" s="159">
        <f t="shared" si="0"/>
        <v>10</v>
      </c>
      <c r="J4" s="159">
        <f t="shared" si="0"/>
        <v>10</v>
      </c>
      <c r="K4" s="159">
        <f t="shared" si="0"/>
        <v>6</v>
      </c>
      <c r="L4" s="159">
        <f t="shared" si="0"/>
        <v>0</v>
      </c>
      <c r="M4" s="159">
        <f t="shared" si="0"/>
        <v>26</v>
      </c>
      <c r="N4" s="159">
        <f t="shared" ref="N4:Y13" si="1">INDEX(scorematrix,MATCH($C4,renners,0),MATCH(N$3,etappes,0))</f>
        <v>0</v>
      </c>
      <c r="O4" s="159">
        <f t="shared" si="1"/>
        <v>0</v>
      </c>
      <c r="P4" s="159">
        <f t="shared" si="1"/>
        <v>0</v>
      </c>
      <c r="Q4" s="159">
        <f t="shared" si="1"/>
        <v>0</v>
      </c>
      <c r="R4" s="159">
        <f t="shared" si="1"/>
        <v>0</v>
      </c>
      <c r="S4" s="159">
        <f t="shared" si="1"/>
        <v>0</v>
      </c>
      <c r="T4" s="159">
        <f t="shared" si="1"/>
        <v>0</v>
      </c>
      <c r="U4" s="159">
        <f t="shared" si="1"/>
        <v>0</v>
      </c>
      <c r="V4" s="159">
        <f t="shared" si="1"/>
        <v>0</v>
      </c>
      <c r="W4" s="159">
        <f t="shared" si="1"/>
        <v>0</v>
      </c>
      <c r="X4" s="159">
        <f t="shared" si="1"/>
        <v>0</v>
      </c>
      <c r="Y4" s="159">
        <f t="shared" si="1"/>
        <v>0</v>
      </c>
      <c r="Z4" s="164">
        <f t="shared" ref="Z4:Z21" si="2">SUM(D4:Y4)</f>
        <v>208</v>
      </c>
      <c r="AA4" s="158" t="str">
        <f t="shared" ref="AA4:AA18" si="3">C4</f>
        <v>Cancellara</v>
      </c>
    </row>
    <row r="5" spans="2:27">
      <c r="B5" s="216" t="s">
        <v>150</v>
      </c>
      <c r="C5" s="217" t="s">
        <v>75</v>
      </c>
      <c r="D5" s="159">
        <f t="shared" si="0"/>
        <v>0</v>
      </c>
      <c r="E5" s="159">
        <f t="shared" si="0"/>
        <v>0</v>
      </c>
      <c r="F5" s="159">
        <f t="shared" si="0"/>
        <v>39</v>
      </c>
      <c r="G5" s="159">
        <f t="shared" si="0"/>
        <v>3</v>
      </c>
      <c r="H5" s="159">
        <f t="shared" si="0"/>
        <v>2</v>
      </c>
      <c r="I5" s="159">
        <f t="shared" si="0"/>
        <v>24</v>
      </c>
      <c r="J5" s="159">
        <f t="shared" si="0"/>
        <v>2</v>
      </c>
      <c r="K5" s="159">
        <f t="shared" si="0"/>
        <v>2</v>
      </c>
      <c r="L5" s="159">
        <f t="shared" si="0"/>
        <v>2</v>
      </c>
      <c r="M5" s="159">
        <f t="shared" si="0"/>
        <v>2</v>
      </c>
      <c r="N5" s="159">
        <f t="shared" si="1"/>
        <v>2</v>
      </c>
      <c r="O5" s="159">
        <f t="shared" si="1"/>
        <v>2</v>
      </c>
      <c r="P5" s="159">
        <f t="shared" si="1"/>
        <v>2</v>
      </c>
      <c r="Q5" s="159">
        <f t="shared" si="1"/>
        <v>2</v>
      </c>
      <c r="R5" s="159">
        <f t="shared" si="1"/>
        <v>2</v>
      </c>
      <c r="S5" s="159">
        <f t="shared" si="1"/>
        <v>2</v>
      </c>
      <c r="T5" s="159">
        <f t="shared" si="1"/>
        <v>2</v>
      </c>
      <c r="U5" s="159">
        <f t="shared" si="1"/>
        <v>2</v>
      </c>
      <c r="V5" s="159">
        <f t="shared" si="1"/>
        <v>37</v>
      </c>
      <c r="W5" s="159">
        <f t="shared" si="1"/>
        <v>2</v>
      </c>
      <c r="X5" s="159">
        <f t="shared" si="1"/>
        <v>37</v>
      </c>
      <c r="Y5" s="159">
        <f t="shared" si="1"/>
        <v>3</v>
      </c>
      <c r="Z5" s="164">
        <f t="shared" si="2"/>
        <v>171</v>
      </c>
      <c r="AA5" s="158" t="str">
        <f t="shared" si="3"/>
        <v>Cavendish</v>
      </c>
    </row>
    <row r="6" spans="2:27">
      <c r="B6" s="216" t="s">
        <v>151</v>
      </c>
      <c r="C6" s="217" t="s">
        <v>101</v>
      </c>
      <c r="D6" s="159">
        <f t="shared" si="0"/>
        <v>0</v>
      </c>
      <c r="E6" s="159">
        <f t="shared" si="0"/>
        <v>0</v>
      </c>
      <c r="F6" s="159">
        <f t="shared" si="0"/>
        <v>0</v>
      </c>
      <c r="G6" s="159">
        <f t="shared" si="0"/>
        <v>0</v>
      </c>
      <c r="H6" s="159">
        <f t="shared" si="0"/>
        <v>0</v>
      </c>
      <c r="I6" s="159">
        <f t="shared" si="0"/>
        <v>0</v>
      </c>
      <c r="J6" s="159">
        <f t="shared" si="0"/>
        <v>0</v>
      </c>
      <c r="K6" s="159">
        <f t="shared" si="0"/>
        <v>0</v>
      </c>
      <c r="L6" s="159">
        <f t="shared" si="0"/>
        <v>0</v>
      </c>
      <c r="M6" s="159">
        <f t="shared" si="0"/>
        <v>0</v>
      </c>
      <c r="N6" s="159">
        <f t="shared" si="1"/>
        <v>0</v>
      </c>
      <c r="O6" s="159">
        <f t="shared" si="1"/>
        <v>0</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0</v>
      </c>
      <c r="AA6" s="158" t="str">
        <f t="shared" si="3"/>
        <v>Danielson</v>
      </c>
    </row>
    <row r="7" spans="2:27">
      <c r="B7" s="216" t="s">
        <v>141</v>
      </c>
      <c r="C7" s="217" t="s">
        <v>81</v>
      </c>
      <c r="D7" s="159">
        <f t="shared" si="0"/>
        <v>13</v>
      </c>
      <c r="E7" s="159">
        <f t="shared" si="0"/>
        <v>9</v>
      </c>
      <c r="F7" s="159">
        <f t="shared" si="0"/>
        <v>3</v>
      </c>
      <c r="G7" s="159">
        <f t="shared" si="0"/>
        <v>24</v>
      </c>
      <c r="H7" s="159">
        <f t="shared" si="0"/>
        <v>4</v>
      </c>
      <c r="I7" s="159">
        <f t="shared" si="0"/>
        <v>4</v>
      </c>
      <c r="J7" s="159">
        <f t="shared" si="0"/>
        <v>17</v>
      </c>
      <c r="K7" s="159">
        <f t="shared" si="0"/>
        <v>43</v>
      </c>
      <c r="L7" s="159">
        <f t="shared" si="0"/>
        <v>42</v>
      </c>
      <c r="M7" s="159">
        <f t="shared" si="0"/>
        <v>32</v>
      </c>
      <c r="N7" s="159">
        <f t="shared" si="1"/>
        <v>23</v>
      </c>
      <c r="O7" s="159">
        <f t="shared" si="1"/>
        <v>22</v>
      </c>
      <c r="P7" s="159">
        <f t="shared" si="1"/>
        <v>25</v>
      </c>
      <c r="Q7" s="159">
        <f t="shared" si="1"/>
        <v>17</v>
      </c>
      <c r="R7" s="159">
        <f t="shared" si="1"/>
        <v>17</v>
      </c>
      <c r="S7" s="159">
        <f t="shared" si="1"/>
        <v>7</v>
      </c>
      <c r="T7" s="159">
        <f t="shared" si="1"/>
        <v>4</v>
      </c>
      <c r="U7" s="159">
        <f t="shared" si="1"/>
        <v>13</v>
      </c>
      <c r="V7" s="159">
        <f t="shared" si="1"/>
        <v>5</v>
      </c>
      <c r="W7" s="159">
        <f t="shared" si="1"/>
        <v>4</v>
      </c>
      <c r="X7" s="159">
        <f t="shared" si="1"/>
        <v>4</v>
      </c>
      <c r="Y7" s="159">
        <f t="shared" si="1"/>
        <v>38</v>
      </c>
      <c r="Z7" s="164">
        <f t="shared" si="2"/>
        <v>370</v>
      </c>
      <c r="AA7" s="158" t="str">
        <f t="shared" si="3"/>
        <v>Evans</v>
      </c>
    </row>
    <row r="8" spans="2:27">
      <c r="B8" s="216" t="s">
        <v>133</v>
      </c>
      <c r="C8" s="217" t="s">
        <v>76</v>
      </c>
      <c r="D8" s="159">
        <f t="shared" si="0"/>
        <v>0</v>
      </c>
      <c r="E8" s="159">
        <f t="shared" si="0"/>
        <v>0</v>
      </c>
      <c r="F8" s="159">
        <f t="shared" si="0"/>
        <v>16</v>
      </c>
      <c r="G8" s="159">
        <f t="shared" si="0"/>
        <v>0</v>
      </c>
      <c r="H8" s="159">
        <f t="shared" si="0"/>
        <v>0</v>
      </c>
      <c r="I8" s="159">
        <f t="shared" si="0"/>
        <v>0</v>
      </c>
      <c r="J8" s="159">
        <f t="shared" si="0"/>
        <v>0</v>
      </c>
      <c r="K8" s="159">
        <f t="shared" si="0"/>
        <v>0</v>
      </c>
      <c r="L8" s="159">
        <f t="shared" si="0"/>
        <v>0</v>
      </c>
      <c r="M8" s="159">
        <f t="shared" si="0"/>
        <v>0</v>
      </c>
      <c r="N8" s="159">
        <f t="shared" si="1"/>
        <v>0</v>
      </c>
      <c r="O8" s="159">
        <f t="shared" si="1"/>
        <v>0</v>
      </c>
      <c r="P8" s="159">
        <f t="shared" si="1"/>
        <v>0</v>
      </c>
      <c r="Q8" s="159">
        <f t="shared" si="1"/>
        <v>0</v>
      </c>
      <c r="R8" s="159">
        <f t="shared" si="1"/>
        <v>0</v>
      </c>
      <c r="S8" s="159">
        <f t="shared" si="1"/>
        <v>18</v>
      </c>
      <c r="T8" s="159">
        <f t="shared" si="1"/>
        <v>0</v>
      </c>
      <c r="U8" s="159">
        <f t="shared" si="1"/>
        <v>0</v>
      </c>
      <c r="V8" s="159">
        <f t="shared" si="1"/>
        <v>20</v>
      </c>
      <c r="W8" s="159">
        <f t="shared" si="1"/>
        <v>0</v>
      </c>
      <c r="X8" s="159">
        <f t="shared" si="1"/>
        <v>15</v>
      </c>
      <c r="Y8" s="159">
        <f t="shared" si="1"/>
        <v>0</v>
      </c>
      <c r="Z8" s="164">
        <f t="shared" si="2"/>
        <v>69</v>
      </c>
      <c r="AA8" s="158" t="str">
        <f t="shared" si="3"/>
        <v>Farrar</v>
      </c>
    </row>
    <row r="9" spans="2:27">
      <c r="B9" s="216" t="s">
        <v>152</v>
      </c>
      <c r="C9" s="217" t="s">
        <v>98</v>
      </c>
      <c r="D9" s="159">
        <f t="shared" si="0"/>
        <v>19</v>
      </c>
      <c r="E9" s="159">
        <f t="shared" si="0"/>
        <v>30</v>
      </c>
      <c r="F9" s="159">
        <f t="shared" si="0"/>
        <v>4</v>
      </c>
      <c r="G9" s="159">
        <f t="shared" si="0"/>
        <v>0</v>
      </c>
      <c r="H9" s="159">
        <f t="shared" si="0"/>
        <v>0</v>
      </c>
      <c r="I9" s="159">
        <f t="shared" si="0"/>
        <v>0</v>
      </c>
      <c r="J9" s="159">
        <f t="shared" si="0"/>
        <v>0</v>
      </c>
      <c r="K9" s="159">
        <f t="shared" si="0"/>
        <v>0</v>
      </c>
      <c r="L9" s="159">
        <f t="shared" si="0"/>
        <v>0</v>
      </c>
      <c r="M9" s="159">
        <f t="shared" si="0"/>
        <v>0</v>
      </c>
      <c r="N9" s="159">
        <f t="shared" si="1"/>
        <v>0</v>
      </c>
      <c r="O9" s="159">
        <f t="shared" si="1"/>
        <v>0</v>
      </c>
      <c r="P9" s="159">
        <f t="shared" si="1"/>
        <v>0</v>
      </c>
      <c r="Q9" s="159">
        <f t="shared" si="1"/>
        <v>18</v>
      </c>
      <c r="R9" s="159">
        <f t="shared" si="1"/>
        <v>24</v>
      </c>
      <c r="S9" s="159">
        <f t="shared" si="1"/>
        <v>0</v>
      </c>
      <c r="T9" s="159">
        <f t="shared" si="1"/>
        <v>0</v>
      </c>
      <c r="U9" s="159">
        <f t="shared" si="1"/>
        <v>0</v>
      </c>
      <c r="V9" s="159">
        <f t="shared" si="1"/>
        <v>0</v>
      </c>
      <c r="W9" s="159">
        <f t="shared" si="1"/>
        <v>0</v>
      </c>
      <c r="X9" s="159">
        <f t="shared" si="1"/>
        <v>0</v>
      </c>
      <c r="Y9" s="159">
        <f t="shared" si="1"/>
        <v>0</v>
      </c>
      <c r="Z9" s="164">
        <f t="shared" si="2"/>
        <v>95</v>
      </c>
      <c r="AA9" s="158" t="str">
        <f t="shared" si="3"/>
        <v>Gilbert</v>
      </c>
    </row>
    <row r="10" spans="2:27">
      <c r="B10" s="216" t="s">
        <v>153</v>
      </c>
      <c r="C10" s="217" t="s">
        <v>100</v>
      </c>
      <c r="D10" s="159">
        <f t="shared" si="0"/>
        <v>0</v>
      </c>
      <c r="E10" s="159">
        <f t="shared" si="0"/>
        <v>0</v>
      </c>
      <c r="F10" s="159">
        <f t="shared" si="0"/>
        <v>28</v>
      </c>
      <c r="G10" s="159">
        <f t="shared" si="0"/>
        <v>1</v>
      </c>
      <c r="H10" s="159">
        <f t="shared" si="0"/>
        <v>28</v>
      </c>
      <c r="I10" s="159">
        <f t="shared" si="0"/>
        <v>34</v>
      </c>
      <c r="J10" s="159">
        <f t="shared" si="0"/>
        <v>30</v>
      </c>
      <c r="K10" s="159">
        <f t="shared" si="0"/>
        <v>4</v>
      </c>
      <c r="L10" s="159">
        <f t="shared" si="0"/>
        <v>4</v>
      </c>
      <c r="M10" s="159">
        <f t="shared" si="0"/>
        <v>4</v>
      </c>
      <c r="N10" s="159">
        <f t="shared" si="1"/>
        <v>4</v>
      </c>
      <c r="O10" s="159">
        <f t="shared" si="1"/>
        <v>4</v>
      </c>
      <c r="P10" s="159">
        <f t="shared" si="1"/>
        <v>23</v>
      </c>
      <c r="Q10" s="159">
        <f t="shared" si="1"/>
        <v>3</v>
      </c>
      <c r="R10" s="159">
        <f t="shared" si="1"/>
        <v>3</v>
      </c>
      <c r="S10" s="159">
        <f t="shared" si="1"/>
        <v>3</v>
      </c>
      <c r="T10" s="159">
        <f t="shared" si="1"/>
        <v>3</v>
      </c>
      <c r="U10" s="159">
        <f t="shared" si="1"/>
        <v>3</v>
      </c>
      <c r="V10" s="159">
        <f t="shared" si="1"/>
        <v>33</v>
      </c>
      <c r="W10" s="159">
        <f t="shared" si="1"/>
        <v>3</v>
      </c>
      <c r="X10" s="159">
        <f t="shared" si="1"/>
        <v>29</v>
      </c>
      <c r="Y10" s="159">
        <f t="shared" si="1"/>
        <v>5</v>
      </c>
      <c r="Z10" s="164">
        <f t="shared" si="2"/>
        <v>249</v>
      </c>
      <c r="AA10" s="158" t="str">
        <f t="shared" si="3"/>
        <v>Goss</v>
      </c>
    </row>
    <row r="11" spans="2:27">
      <c r="B11" s="216" t="s">
        <v>154</v>
      </c>
      <c r="C11" s="217" t="s">
        <v>99</v>
      </c>
      <c r="D11" s="159">
        <f t="shared" si="0"/>
        <v>0</v>
      </c>
      <c r="E11" s="159">
        <f t="shared" si="0"/>
        <v>0</v>
      </c>
      <c r="F11" s="159">
        <f t="shared" si="0"/>
        <v>30</v>
      </c>
      <c r="G11" s="159">
        <f t="shared" si="0"/>
        <v>0</v>
      </c>
      <c r="H11" s="159">
        <f t="shared" si="0"/>
        <v>38</v>
      </c>
      <c r="I11" s="159">
        <f t="shared" si="0"/>
        <v>38</v>
      </c>
      <c r="J11" s="159">
        <f t="shared" si="0"/>
        <v>33</v>
      </c>
      <c r="K11" s="159">
        <f t="shared" si="0"/>
        <v>3</v>
      </c>
      <c r="L11" s="159">
        <f t="shared" si="0"/>
        <v>3</v>
      </c>
      <c r="M11" s="159">
        <f t="shared" si="0"/>
        <v>3</v>
      </c>
      <c r="N11" s="159">
        <f t="shared" si="1"/>
        <v>3</v>
      </c>
      <c r="O11" s="159">
        <f t="shared" si="1"/>
        <v>3</v>
      </c>
      <c r="P11" s="159">
        <f t="shared" si="1"/>
        <v>3</v>
      </c>
      <c r="Q11" s="159">
        <f t="shared" si="1"/>
        <v>39</v>
      </c>
      <c r="R11" s="159">
        <f t="shared" si="1"/>
        <v>4</v>
      </c>
      <c r="S11" s="159">
        <f t="shared" si="1"/>
        <v>23</v>
      </c>
      <c r="T11" s="159">
        <f t="shared" si="1"/>
        <v>4</v>
      </c>
      <c r="U11" s="159">
        <f t="shared" si="1"/>
        <v>4</v>
      </c>
      <c r="V11" s="159">
        <f t="shared" si="1"/>
        <v>19</v>
      </c>
      <c r="W11" s="159">
        <f t="shared" si="1"/>
        <v>4</v>
      </c>
      <c r="X11" s="159">
        <f t="shared" si="1"/>
        <v>22</v>
      </c>
      <c r="Y11" s="159">
        <f t="shared" si="1"/>
        <v>7</v>
      </c>
      <c r="Z11" s="164">
        <f t="shared" si="2"/>
        <v>283</v>
      </c>
      <c r="AA11" s="158" t="str">
        <f t="shared" si="3"/>
        <v>Greipel</v>
      </c>
    </row>
    <row r="12" spans="2:27">
      <c r="B12" s="216" t="s">
        <v>155</v>
      </c>
      <c r="C12" s="217" t="s">
        <v>85</v>
      </c>
      <c r="D12" s="159">
        <f t="shared" si="0"/>
        <v>29</v>
      </c>
      <c r="E12" s="159">
        <f t="shared" si="0"/>
        <v>35</v>
      </c>
      <c r="F12" s="159">
        <f t="shared" si="0"/>
        <v>14</v>
      </c>
      <c r="G12" s="159">
        <f t="shared" si="0"/>
        <v>38</v>
      </c>
      <c r="H12" s="159">
        <f t="shared" si="0"/>
        <v>24</v>
      </c>
      <c r="I12" s="159">
        <f t="shared" si="0"/>
        <v>6</v>
      </c>
      <c r="J12" s="159">
        <f t="shared" si="0"/>
        <v>0</v>
      </c>
      <c r="K12" s="159">
        <f t="shared" si="0"/>
        <v>0</v>
      </c>
      <c r="L12" s="159">
        <f t="shared" si="0"/>
        <v>0</v>
      </c>
      <c r="M12" s="159">
        <f t="shared" si="0"/>
        <v>0</v>
      </c>
      <c r="N12" s="159">
        <f t="shared" si="1"/>
        <v>0</v>
      </c>
      <c r="O12" s="159">
        <f t="shared" si="1"/>
        <v>0</v>
      </c>
      <c r="P12" s="159">
        <f t="shared" si="1"/>
        <v>0</v>
      </c>
      <c r="Q12" s="159">
        <f t="shared" si="1"/>
        <v>27</v>
      </c>
      <c r="R12" s="159">
        <f t="shared" si="1"/>
        <v>1</v>
      </c>
      <c r="S12" s="159">
        <f t="shared" si="1"/>
        <v>1</v>
      </c>
      <c r="T12" s="159">
        <f t="shared" si="1"/>
        <v>1</v>
      </c>
      <c r="U12" s="159">
        <f t="shared" si="1"/>
        <v>1</v>
      </c>
      <c r="V12" s="159">
        <f t="shared" si="1"/>
        <v>14</v>
      </c>
      <c r="W12" s="159">
        <f t="shared" si="1"/>
        <v>1</v>
      </c>
      <c r="X12" s="159">
        <f t="shared" si="1"/>
        <v>18</v>
      </c>
      <c r="Y12" s="159">
        <f t="shared" si="1"/>
        <v>1</v>
      </c>
      <c r="Z12" s="164">
        <f t="shared" si="2"/>
        <v>211</v>
      </c>
      <c r="AA12" s="158" t="str">
        <f t="shared" si="3"/>
        <v>Boasson Hagen</v>
      </c>
    </row>
    <row r="13" spans="2:27">
      <c r="B13" s="216" t="s">
        <v>156</v>
      </c>
      <c r="C13" s="217" t="s">
        <v>93</v>
      </c>
      <c r="D13" s="159">
        <f t="shared" si="0"/>
        <v>11</v>
      </c>
      <c r="E13" s="159">
        <f t="shared" si="0"/>
        <v>18</v>
      </c>
      <c r="F13" s="159">
        <f t="shared" si="0"/>
        <v>1</v>
      </c>
      <c r="G13" s="159">
        <f t="shared" si="0"/>
        <v>17</v>
      </c>
      <c r="H13" s="159">
        <f t="shared" si="0"/>
        <v>2</v>
      </c>
      <c r="I13" s="159">
        <f t="shared" si="0"/>
        <v>2</v>
      </c>
      <c r="J13" s="159">
        <f t="shared" si="0"/>
        <v>0</v>
      </c>
      <c r="K13" s="159">
        <f t="shared" si="0"/>
        <v>0</v>
      </c>
      <c r="L13" s="159">
        <f t="shared" si="0"/>
        <v>0</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0</v>
      </c>
      <c r="X13" s="159">
        <f t="shared" si="1"/>
        <v>0</v>
      </c>
      <c r="Y13" s="159">
        <f t="shared" si="1"/>
        <v>0</v>
      </c>
      <c r="Z13" s="164">
        <f t="shared" si="2"/>
        <v>51</v>
      </c>
      <c r="AA13" s="158" t="str">
        <f t="shared" si="3"/>
        <v>Hesjedal</v>
      </c>
    </row>
    <row r="14" spans="2:27">
      <c r="B14" s="216" t="s">
        <v>144</v>
      </c>
      <c r="C14" s="217" t="s">
        <v>82</v>
      </c>
      <c r="D14" s="159">
        <f t="shared" ref="D14:M20" si="4">INDEX(scorematrix,MATCH($C14,renners,0),MATCH(D$3,etappes,0))</f>
        <v>0</v>
      </c>
      <c r="E14" s="159">
        <f t="shared" si="4"/>
        <v>0</v>
      </c>
      <c r="F14" s="159">
        <f t="shared" si="4"/>
        <v>0</v>
      </c>
      <c r="G14" s="159">
        <f t="shared" si="4"/>
        <v>0</v>
      </c>
      <c r="H14" s="159">
        <f t="shared" si="4"/>
        <v>0</v>
      </c>
      <c r="I14" s="159">
        <f t="shared" si="4"/>
        <v>0</v>
      </c>
      <c r="J14" s="159">
        <f t="shared" si="4"/>
        <v>0</v>
      </c>
      <c r="K14" s="159">
        <f t="shared" si="4"/>
        <v>0</v>
      </c>
      <c r="L14" s="159">
        <f t="shared" si="4"/>
        <v>0</v>
      </c>
      <c r="M14" s="159">
        <f t="shared" si="4"/>
        <v>14</v>
      </c>
      <c r="N14" s="159">
        <f t="shared" ref="N14:Y20" si="5">INDEX(scorematrix,MATCH($C14,renners,0),MATCH(N$3,etappes,0))</f>
        <v>0</v>
      </c>
      <c r="O14" s="159">
        <f t="shared" si="5"/>
        <v>0</v>
      </c>
      <c r="P14" s="159">
        <f t="shared" si="5"/>
        <v>0</v>
      </c>
      <c r="Q14" s="159">
        <f t="shared" si="5"/>
        <v>0</v>
      </c>
      <c r="R14" s="159">
        <f t="shared" si="5"/>
        <v>0</v>
      </c>
      <c r="S14" s="159">
        <f t="shared" si="5"/>
        <v>0</v>
      </c>
      <c r="T14" s="159">
        <f t="shared" si="5"/>
        <v>0</v>
      </c>
      <c r="U14" s="159">
        <f t="shared" si="5"/>
        <v>0</v>
      </c>
      <c r="V14" s="159">
        <f t="shared" si="5"/>
        <v>0</v>
      </c>
      <c r="W14" s="159">
        <f t="shared" si="5"/>
        <v>0</v>
      </c>
      <c r="X14" s="159">
        <f t="shared" si="5"/>
        <v>0</v>
      </c>
      <c r="Y14" s="159">
        <f t="shared" si="5"/>
        <v>0</v>
      </c>
      <c r="Z14" s="164">
        <f t="shared" si="2"/>
        <v>14</v>
      </c>
      <c r="AA14" s="158" t="str">
        <f t="shared" si="3"/>
        <v>Martin</v>
      </c>
    </row>
    <row r="15" spans="2:27">
      <c r="B15" s="216" t="s">
        <v>134</v>
      </c>
      <c r="C15" s="217" t="s">
        <v>87</v>
      </c>
      <c r="D15" s="159">
        <f t="shared" si="4"/>
        <v>0</v>
      </c>
      <c r="E15" s="159">
        <f t="shared" si="4"/>
        <v>0</v>
      </c>
      <c r="F15" s="159">
        <f t="shared" si="4"/>
        <v>15</v>
      </c>
      <c r="G15" s="159">
        <f t="shared" si="4"/>
        <v>0</v>
      </c>
      <c r="H15" s="159">
        <f t="shared" si="4"/>
        <v>0</v>
      </c>
      <c r="I15" s="159">
        <f t="shared" si="4"/>
        <v>0</v>
      </c>
      <c r="J15" s="159">
        <f t="shared" si="4"/>
        <v>0</v>
      </c>
      <c r="K15" s="159">
        <f t="shared" si="4"/>
        <v>0</v>
      </c>
      <c r="L15" s="159">
        <f t="shared" si="4"/>
        <v>0</v>
      </c>
      <c r="M15" s="159">
        <f t="shared" si="4"/>
        <v>0</v>
      </c>
      <c r="N15" s="159">
        <f t="shared" si="5"/>
        <v>0</v>
      </c>
      <c r="O15" s="159">
        <f t="shared" si="5"/>
        <v>0</v>
      </c>
      <c r="P15" s="159">
        <f t="shared" si="5"/>
        <v>0</v>
      </c>
      <c r="Q15" s="159">
        <f t="shared" si="5"/>
        <v>0</v>
      </c>
      <c r="R15" s="159">
        <f t="shared" si="5"/>
        <v>0</v>
      </c>
      <c r="S15" s="159">
        <f t="shared" si="5"/>
        <v>0</v>
      </c>
      <c r="T15" s="159">
        <f t="shared" si="5"/>
        <v>0</v>
      </c>
      <c r="U15" s="159">
        <f t="shared" si="5"/>
        <v>0</v>
      </c>
      <c r="V15" s="159">
        <f t="shared" si="5"/>
        <v>0</v>
      </c>
      <c r="W15" s="159">
        <f t="shared" si="5"/>
        <v>0</v>
      </c>
      <c r="X15" s="159">
        <f t="shared" si="5"/>
        <v>0</v>
      </c>
      <c r="Y15" s="159">
        <f t="shared" si="5"/>
        <v>0</v>
      </c>
      <c r="Z15" s="164">
        <f t="shared" si="2"/>
        <v>15</v>
      </c>
      <c r="AA15" s="158" t="str">
        <f t="shared" si="3"/>
        <v>Rojas</v>
      </c>
    </row>
    <row r="16" spans="2:27" s="218" customFormat="1">
      <c r="B16" s="216" t="s">
        <v>129</v>
      </c>
      <c r="C16" s="217" t="s">
        <v>130</v>
      </c>
      <c r="D16" s="159">
        <f t="shared" si="4"/>
        <v>0</v>
      </c>
      <c r="E16" s="159">
        <f t="shared" si="4"/>
        <v>43</v>
      </c>
      <c r="F16" s="159">
        <f t="shared" si="4"/>
        <v>27</v>
      </c>
      <c r="G16" s="159">
        <f t="shared" si="4"/>
        <v>43</v>
      </c>
      <c r="H16" s="159">
        <f t="shared" si="4"/>
        <v>30</v>
      </c>
      <c r="I16" s="159">
        <f t="shared" si="4"/>
        <v>8</v>
      </c>
      <c r="J16" s="159">
        <f t="shared" si="4"/>
        <v>46</v>
      </c>
      <c r="K16" s="159">
        <f t="shared" si="4"/>
        <v>5</v>
      </c>
      <c r="L16" s="159">
        <f t="shared" si="4"/>
        <v>5</v>
      </c>
      <c r="M16" s="159">
        <f t="shared" si="4"/>
        <v>5</v>
      </c>
      <c r="N16" s="159">
        <f t="shared" si="5"/>
        <v>5</v>
      </c>
      <c r="O16" s="159">
        <f t="shared" si="5"/>
        <v>5</v>
      </c>
      <c r="P16" s="159">
        <f t="shared" si="5"/>
        <v>25</v>
      </c>
      <c r="Q16" s="159">
        <f t="shared" si="5"/>
        <v>35</v>
      </c>
      <c r="R16" s="159">
        <f t="shared" si="5"/>
        <v>35</v>
      </c>
      <c r="S16" s="159">
        <f t="shared" si="5"/>
        <v>22</v>
      </c>
      <c r="T16" s="159">
        <f t="shared" si="5"/>
        <v>5</v>
      </c>
      <c r="U16" s="159">
        <f t="shared" si="5"/>
        <v>5</v>
      </c>
      <c r="V16" s="159">
        <f t="shared" si="5"/>
        <v>31</v>
      </c>
      <c r="W16" s="159">
        <f t="shared" si="5"/>
        <v>5</v>
      </c>
      <c r="X16" s="159">
        <f t="shared" si="5"/>
        <v>35</v>
      </c>
      <c r="Y16" s="159">
        <f t="shared" si="5"/>
        <v>10</v>
      </c>
      <c r="Z16" s="164">
        <f t="shared" si="2"/>
        <v>430</v>
      </c>
      <c r="AA16" s="158" t="str">
        <f t="shared" si="3"/>
        <v>Sagan</v>
      </c>
    </row>
    <row r="17" spans="2:27">
      <c r="B17" s="216" t="s">
        <v>157</v>
      </c>
      <c r="C17" s="217" t="s">
        <v>68</v>
      </c>
      <c r="D17" s="159">
        <f t="shared" si="4"/>
        <v>0</v>
      </c>
      <c r="E17" s="159">
        <f t="shared" si="4"/>
        <v>0</v>
      </c>
      <c r="F17" s="159">
        <f t="shared" si="4"/>
        <v>0</v>
      </c>
      <c r="G17" s="159">
        <f t="shared" si="4"/>
        <v>18</v>
      </c>
      <c r="H17" s="159">
        <f t="shared" si="4"/>
        <v>0</v>
      </c>
      <c r="I17" s="159">
        <f t="shared" si="4"/>
        <v>9</v>
      </c>
      <c r="J17" s="159">
        <f t="shared" si="4"/>
        <v>7</v>
      </c>
      <c r="K17" s="159">
        <f t="shared" si="4"/>
        <v>10</v>
      </c>
      <c r="L17" s="159">
        <f t="shared" si="4"/>
        <v>0</v>
      </c>
      <c r="M17" s="159">
        <f t="shared" si="4"/>
        <v>0</v>
      </c>
      <c r="N17" s="159">
        <f t="shared" si="5"/>
        <v>0</v>
      </c>
      <c r="O17" s="159">
        <f t="shared" si="5"/>
        <v>0</v>
      </c>
      <c r="P17" s="159">
        <f t="shared" si="5"/>
        <v>0</v>
      </c>
      <c r="Q17" s="159">
        <f t="shared" si="5"/>
        <v>0</v>
      </c>
      <c r="R17" s="159">
        <f t="shared" si="5"/>
        <v>0</v>
      </c>
      <c r="S17" s="159">
        <f t="shared" si="5"/>
        <v>0</v>
      </c>
      <c r="T17" s="159">
        <f t="shared" si="5"/>
        <v>0</v>
      </c>
      <c r="U17" s="159">
        <f t="shared" si="5"/>
        <v>0</v>
      </c>
      <c r="V17" s="159">
        <f t="shared" si="5"/>
        <v>0</v>
      </c>
      <c r="W17" s="159">
        <f t="shared" si="5"/>
        <v>0</v>
      </c>
      <c r="X17" s="159">
        <f t="shared" si="5"/>
        <v>0</v>
      </c>
      <c r="Y17" s="159">
        <f t="shared" si="5"/>
        <v>0</v>
      </c>
      <c r="Z17" s="164">
        <f t="shared" si="2"/>
        <v>44</v>
      </c>
      <c r="AA17" s="158" t="str">
        <f t="shared" si="3"/>
        <v>Sanchez</v>
      </c>
    </row>
    <row r="18" spans="2:27">
      <c r="B18" s="216" t="s">
        <v>158</v>
      </c>
      <c r="C18" s="217" t="s">
        <v>159</v>
      </c>
      <c r="D18" s="159">
        <f t="shared" si="4"/>
        <v>0</v>
      </c>
      <c r="E18" s="159">
        <f t="shared" si="4"/>
        <v>0</v>
      </c>
      <c r="F18" s="159">
        <f t="shared" si="4"/>
        <v>0</v>
      </c>
      <c r="G18" s="159">
        <f t="shared" si="4"/>
        <v>6</v>
      </c>
      <c r="H18" s="159">
        <f t="shared" si="4"/>
        <v>0</v>
      </c>
      <c r="I18" s="159">
        <f t="shared" si="4"/>
        <v>0</v>
      </c>
      <c r="J18" s="159">
        <f t="shared" si="4"/>
        <v>0</v>
      </c>
      <c r="K18" s="159">
        <f t="shared" si="4"/>
        <v>14</v>
      </c>
      <c r="L18" s="159">
        <f t="shared" si="4"/>
        <v>16</v>
      </c>
      <c r="M18" s="159">
        <f t="shared" si="4"/>
        <v>0</v>
      </c>
      <c r="N18" s="159">
        <f t="shared" si="5"/>
        <v>0</v>
      </c>
      <c r="O18" s="159">
        <f t="shared" si="5"/>
        <v>16</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52</v>
      </c>
      <c r="AA18" s="158" t="str">
        <f t="shared" si="3"/>
        <v>Schleck</v>
      </c>
    </row>
    <row r="19" spans="2:27">
      <c r="B19" s="216" t="s">
        <v>160</v>
      </c>
      <c r="C19" s="217" t="s">
        <v>161</v>
      </c>
      <c r="D19" s="159">
        <f t="shared" si="4"/>
        <v>0</v>
      </c>
      <c r="E19" s="159">
        <f t="shared" si="4"/>
        <v>15</v>
      </c>
      <c r="F19" s="159">
        <f t="shared" si="4"/>
        <v>0</v>
      </c>
      <c r="G19" s="159">
        <f t="shared" si="4"/>
        <v>0</v>
      </c>
      <c r="H19" s="159">
        <f t="shared" si="4"/>
        <v>0</v>
      </c>
      <c r="I19" s="159">
        <f t="shared" si="4"/>
        <v>0</v>
      </c>
      <c r="J19" s="159">
        <f t="shared" si="4"/>
        <v>0</v>
      </c>
      <c r="K19" s="159">
        <f t="shared" si="4"/>
        <v>0</v>
      </c>
      <c r="L19" s="159">
        <f t="shared" si="4"/>
        <v>23</v>
      </c>
      <c r="M19" s="159">
        <f t="shared" si="4"/>
        <v>2</v>
      </c>
      <c r="N19" s="159">
        <f t="shared" si="5"/>
        <v>20</v>
      </c>
      <c r="O19" s="159">
        <f t="shared" si="5"/>
        <v>30</v>
      </c>
      <c r="P19" s="159">
        <f t="shared" si="5"/>
        <v>14</v>
      </c>
      <c r="Q19" s="159">
        <f t="shared" si="5"/>
        <v>15</v>
      </c>
      <c r="R19" s="159">
        <f t="shared" si="5"/>
        <v>6</v>
      </c>
      <c r="S19" s="159">
        <f t="shared" si="5"/>
        <v>6</v>
      </c>
      <c r="T19" s="159">
        <f t="shared" si="5"/>
        <v>17</v>
      </c>
      <c r="U19" s="159">
        <f t="shared" si="5"/>
        <v>27</v>
      </c>
      <c r="V19" s="159">
        <f t="shared" si="5"/>
        <v>7</v>
      </c>
      <c r="W19" s="159">
        <f t="shared" si="5"/>
        <v>7</v>
      </c>
      <c r="X19" s="159">
        <f t="shared" si="5"/>
        <v>7</v>
      </c>
      <c r="Y19" s="159">
        <f t="shared" si="5"/>
        <v>48</v>
      </c>
      <c r="Z19" s="164">
        <f t="shared" si="2"/>
        <v>244</v>
      </c>
      <c r="AA19" s="158" t="str">
        <f>C19</f>
        <v>Van den Broeck</v>
      </c>
    </row>
    <row r="20" spans="2:27">
      <c r="B20" s="216" t="s">
        <v>71</v>
      </c>
      <c r="C20" s="217" t="s">
        <v>72</v>
      </c>
      <c r="D20" s="159">
        <f t="shared" si="4"/>
        <v>43</v>
      </c>
      <c r="E20" s="159">
        <f t="shared" si="4"/>
        <v>19</v>
      </c>
      <c r="F20" s="159">
        <f t="shared" si="4"/>
        <v>9</v>
      </c>
      <c r="G20" s="159">
        <f t="shared" si="4"/>
        <v>9</v>
      </c>
      <c r="H20" s="159">
        <f t="shared" si="4"/>
        <v>9</v>
      </c>
      <c r="I20" s="159">
        <f t="shared" si="4"/>
        <v>17</v>
      </c>
      <c r="J20" s="159">
        <f t="shared" si="4"/>
        <v>9</v>
      </c>
      <c r="K20" s="159">
        <f t="shared" si="4"/>
        <v>39</v>
      </c>
      <c r="L20" s="159">
        <f t="shared" si="4"/>
        <v>35</v>
      </c>
      <c r="M20" s="159">
        <f t="shared" si="4"/>
        <v>46</v>
      </c>
      <c r="N20" s="159">
        <f t="shared" si="5"/>
        <v>23</v>
      </c>
      <c r="O20" s="159">
        <f t="shared" si="5"/>
        <v>30</v>
      </c>
      <c r="P20" s="159">
        <f t="shared" si="5"/>
        <v>24</v>
      </c>
      <c r="Q20" s="159">
        <f t="shared" si="5"/>
        <v>24</v>
      </c>
      <c r="R20" s="159">
        <f t="shared" si="5"/>
        <v>21</v>
      </c>
      <c r="S20" s="159">
        <f t="shared" si="5"/>
        <v>10</v>
      </c>
      <c r="T20" s="159">
        <f t="shared" si="5"/>
        <v>24</v>
      </c>
      <c r="U20" s="159">
        <f t="shared" si="5"/>
        <v>36</v>
      </c>
      <c r="V20" s="159">
        <f t="shared" si="5"/>
        <v>17</v>
      </c>
      <c r="W20" s="159">
        <f t="shared" si="5"/>
        <v>45</v>
      </c>
      <c r="X20" s="159">
        <f t="shared" si="5"/>
        <v>10</v>
      </c>
      <c r="Y20" s="159">
        <f t="shared" si="5"/>
        <v>70</v>
      </c>
      <c r="Z20" s="164">
        <f t="shared" si="2"/>
        <v>569</v>
      </c>
      <c r="AA20" s="158" t="str">
        <f>C20</f>
        <v>Wiggins</v>
      </c>
    </row>
    <row r="21" spans="2:27" s="219" customFormat="1">
      <c r="C21" s="238"/>
      <c r="D21" s="221"/>
      <c r="E21" s="221"/>
      <c r="F21" s="221"/>
      <c r="G21" s="221"/>
      <c r="H21" s="221"/>
      <c r="I21" s="221"/>
      <c r="J21" s="221"/>
      <c r="K21" s="221"/>
      <c r="L21" s="221"/>
      <c r="M21" s="221">
        <f>M24</f>
        <v>0</v>
      </c>
      <c r="N21" s="221"/>
      <c r="O21" s="221">
        <f>O25</f>
        <v>0</v>
      </c>
      <c r="P21" s="221"/>
      <c r="Q21" s="221"/>
      <c r="R21" s="221">
        <f>R26</f>
        <v>0</v>
      </c>
      <c r="S21" s="221"/>
      <c r="T21" s="221"/>
      <c r="U21" s="221"/>
      <c r="V21" s="221"/>
      <c r="W21" s="221"/>
      <c r="X21" s="221"/>
      <c r="Y21" s="221"/>
      <c r="Z21" s="164">
        <f t="shared" si="2"/>
        <v>0</v>
      </c>
    </row>
    <row r="22" spans="2:27" s="162" customFormat="1">
      <c r="C22" s="177"/>
      <c r="D22" s="223">
        <f t="shared" ref="D22:Z22" si="6">SUM(D4:D21)</f>
        <v>165</v>
      </c>
      <c r="E22" s="223">
        <f t="shared" ref="E22" si="7">SUM(E4:E21)</f>
        <v>214</v>
      </c>
      <c r="F22" s="223">
        <f>SUM(F4:F21)</f>
        <v>199</v>
      </c>
      <c r="G22" s="223">
        <f t="shared" si="6"/>
        <v>197</v>
      </c>
      <c r="H22" s="223">
        <f t="shared" si="6"/>
        <v>147</v>
      </c>
      <c r="I22" s="223">
        <f t="shared" si="6"/>
        <v>152</v>
      </c>
      <c r="J22" s="223">
        <f t="shared" si="6"/>
        <v>154</v>
      </c>
      <c r="K22" s="223">
        <f t="shared" si="6"/>
        <v>126</v>
      </c>
      <c r="L22" s="223">
        <f t="shared" si="6"/>
        <v>130</v>
      </c>
      <c r="M22" s="223">
        <f t="shared" si="6"/>
        <v>134</v>
      </c>
      <c r="N22" s="223">
        <f t="shared" si="6"/>
        <v>80</v>
      </c>
      <c r="O22" s="223">
        <f t="shared" si="6"/>
        <v>112</v>
      </c>
      <c r="P22" s="223">
        <f t="shared" si="6"/>
        <v>116</v>
      </c>
      <c r="Q22" s="223">
        <f t="shared" si="6"/>
        <v>180</v>
      </c>
      <c r="R22" s="223">
        <f t="shared" si="6"/>
        <v>113</v>
      </c>
      <c r="S22" s="223">
        <f t="shared" si="6"/>
        <v>92</v>
      </c>
      <c r="T22" s="223">
        <f t="shared" si="6"/>
        <v>60</v>
      </c>
      <c r="U22" s="223">
        <f t="shared" si="6"/>
        <v>91</v>
      </c>
      <c r="V22" s="223">
        <f t="shared" si="6"/>
        <v>183</v>
      </c>
      <c r="W22" s="223">
        <f t="shared" si="6"/>
        <v>71</v>
      </c>
      <c r="X22" s="223">
        <f t="shared" si="6"/>
        <v>177</v>
      </c>
      <c r="Y22" s="223">
        <f t="shared" si="6"/>
        <v>182</v>
      </c>
      <c r="Z22" s="224">
        <f t="shared" si="6"/>
        <v>3075</v>
      </c>
    </row>
    <row r="23" spans="2:27"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162</v>
      </c>
      <c r="C24" s="228" t="s">
        <v>210</v>
      </c>
      <c r="D24" s="295">
        <f t="shared" ref="D24:Y26" si="8">INDEX(scorematrix,MATCH($C24,renners,0),MATCH(D$3,etappes,0))</f>
        <v>0</v>
      </c>
      <c r="E24" s="295">
        <f t="shared" si="8"/>
        <v>0</v>
      </c>
      <c r="F24" s="295">
        <f t="shared" si="8"/>
        <v>0</v>
      </c>
      <c r="G24" s="295">
        <f t="shared" si="8"/>
        <v>0</v>
      </c>
      <c r="H24" s="295">
        <f t="shared" si="8"/>
        <v>0</v>
      </c>
      <c r="I24" s="295">
        <f t="shared" si="8"/>
        <v>0</v>
      </c>
      <c r="J24" s="295">
        <f t="shared" si="8"/>
        <v>0</v>
      </c>
      <c r="K24" s="295">
        <f t="shared" si="8"/>
        <v>0</v>
      </c>
      <c r="L24" s="297">
        <f t="shared" si="8"/>
        <v>0</v>
      </c>
      <c r="M24" s="296">
        <f t="shared" si="8"/>
        <v>0</v>
      </c>
      <c r="N24" s="295">
        <f t="shared" si="8"/>
        <v>24</v>
      </c>
      <c r="O24" s="295">
        <f t="shared" si="8"/>
        <v>0</v>
      </c>
      <c r="P24" s="295">
        <f t="shared" si="8"/>
        <v>0</v>
      </c>
      <c r="Q24" s="295">
        <f t="shared" si="8"/>
        <v>0</v>
      </c>
      <c r="R24" s="295">
        <f t="shared" si="8"/>
        <v>35</v>
      </c>
      <c r="S24" s="295">
        <f t="shared" si="8"/>
        <v>0</v>
      </c>
      <c r="T24" s="295">
        <f t="shared" si="8"/>
        <v>0</v>
      </c>
      <c r="U24" s="295">
        <f t="shared" si="8"/>
        <v>0</v>
      </c>
      <c r="V24" s="295">
        <f t="shared" si="8"/>
        <v>24</v>
      </c>
      <c r="W24" s="295">
        <f t="shared" si="8"/>
        <v>26</v>
      </c>
      <c r="X24" s="295">
        <f t="shared" si="8"/>
        <v>0</v>
      </c>
      <c r="Y24" s="295">
        <f t="shared" si="8"/>
        <v>0</v>
      </c>
      <c r="Z24" s="229">
        <f>SUM(D24:Y24)</f>
        <v>109</v>
      </c>
    </row>
    <row r="25" spans="2:27" s="230" customFormat="1">
      <c r="B25" s="216" t="s">
        <v>163</v>
      </c>
      <c r="C25" s="228" t="s">
        <v>74</v>
      </c>
      <c r="D25" s="295">
        <f t="shared" si="8"/>
        <v>0</v>
      </c>
      <c r="E25" s="295">
        <f t="shared" si="8"/>
        <v>0</v>
      </c>
      <c r="F25" s="295">
        <f t="shared" si="8"/>
        <v>0</v>
      </c>
      <c r="G25" s="295">
        <f t="shared" si="8"/>
        <v>4</v>
      </c>
      <c r="H25" s="295">
        <f t="shared" si="8"/>
        <v>4</v>
      </c>
      <c r="I25" s="295">
        <f t="shared" si="8"/>
        <v>4</v>
      </c>
      <c r="J25" s="295">
        <f t="shared" si="8"/>
        <v>4</v>
      </c>
      <c r="K25" s="295">
        <f t="shared" si="8"/>
        <v>0</v>
      </c>
      <c r="L25" s="297">
        <f t="shared" si="8"/>
        <v>0</v>
      </c>
      <c r="M25" s="297">
        <f t="shared" si="8"/>
        <v>0</v>
      </c>
      <c r="N25" s="295">
        <f t="shared" si="8"/>
        <v>0</v>
      </c>
      <c r="O25" s="296">
        <f t="shared" si="8"/>
        <v>0</v>
      </c>
      <c r="P25" s="295">
        <f t="shared" si="8"/>
        <v>0</v>
      </c>
      <c r="Q25" s="295">
        <f t="shared" si="8"/>
        <v>0</v>
      </c>
      <c r="R25" s="295">
        <f t="shared" si="8"/>
        <v>0</v>
      </c>
      <c r="S25" s="295">
        <f t="shared" si="8"/>
        <v>0</v>
      </c>
      <c r="T25" s="295">
        <f t="shared" si="8"/>
        <v>0</v>
      </c>
      <c r="U25" s="295">
        <f t="shared" si="8"/>
        <v>6</v>
      </c>
      <c r="V25" s="295">
        <f t="shared" si="8"/>
        <v>0</v>
      </c>
      <c r="W25" s="295">
        <f t="shared" si="8"/>
        <v>0</v>
      </c>
      <c r="X25" s="295">
        <f t="shared" si="8"/>
        <v>0</v>
      </c>
      <c r="Y25" s="295">
        <f t="shared" si="8"/>
        <v>0</v>
      </c>
      <c r="Z25" s="229">
        <f>SUM(D25:Y25)</f>
        <v>22</v>
      </c>
    </row>
    <row r="26" spans="2:27" s="230" customFormat="1">
      <c r="B26" s="216" t="s">
        <v>164</v>
      </c>
      <c r="C26" s="228" t="s">
        <v>165</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5">
        <f t="shared" si="8"/>
        <v>0</v>
      </c>
      <c r="N26" s="295">
        <f t="shared" si="8"/>
        <v>0</v>
      </c>
      <c r="O26" s="295">
        <f t="shared" si="8"/>
        <v>0</v>
      </c>
      <c r="P26" s="295">
        <f t="shared" si="8"/>
        <v>0</v>
      </c>
      <c r="Q26" s="295">
        <f t="shared" si="8"/>
        <v>0</v>
      </c>
      <c r="R26" s="296">
        <f t="shared" si="8"/>
        <v>0</v>
      </c>
      <c r="S26" s="295">
        <f t="shared" si="8"/>
        <v>0</v>
      </c>
      <c r="T26" s="295">
        <f t="shared" si="8"/>
        <v>0</v>
      </c>
      <c r="U26" s="295">
        <f t="shared" si="8"/>
        <v>0</v>
      </c>
      <c r="V26" s="295">
        <f t="shared" si="8"/>
        <v>0</v>
      </c>
      <c r="W26" s="295">
        <f t="shared" si="8"/>
        <v>0</v>
      </c>
      <c r="X26" s="295">
        <f t="shared" si="8"/>
        <v>0</v>
      </c>
      <c r="Y26" s="295">
        <f t="shared" si="8"/>
        <v>0</v>
      </c>
      <c r="Z26" s="229">
        <f>SUM(D26:Y26)</f>
        <v>0</v>
      </c>
    </row>
    <row r="27" spans="2:27" s="225" customFormat="1">
      <c r="C27" s="171"/>
      <c r="D27" s="194"/>
      <c r="E27" s="194"/>
      <c r="F27" s="194"/>
      <c r="G27" s="226"/>
      <c r="H27" s="194"/>
      <c r="I27" s="194"/>
      <c r="J27" s="194"/>
      <c r="K27" s="194"/>
      <c r="L27" s="194"/>
      <c r="M27" s="194"/>
      <c r="N27" s="194"/>
      <c r="O27" s="194"/>
      <c r="Z27" s="231"/>
    </row>
    <row r="28" spans="2:27" s="225" customFormat="1">
      <c r="B28" s="232"/>
      <c r="C28" s="232"/>
      <c r="D28" s="194"/>
      <c r="E28" s="194"/>
      <c r="F28" s="194"/>
      <c r="G28" s="226"/>
      <c r="H28" s="194"/>
      <c r="I28" s="194"/>
      <c r="J28" s="194"/>
      <c r="K28" s="194"/>
      <c r="L28" s="194"/>
      <c r="M28" s="194"/>
      <c r="N28" s="194"/>
      <c r="O28" s="194"/>
      <c r="Z28" s="231"/>
    </row>
    <row r="29" spans="2:27" s="225" customFormat="1">
      <c r="C29" s="232"/>
      <c r="D29" s="194"/>
      <c r="E29" s="194"/>
      <c r="F29" s="194"/>
      <c r="G29" s="226"/>
      <c r="H29" s="194"/>
      <c r="I29" s="194"/>
      <c r="J29" s="194"/>
      <c r="K29" s="194"/>
      <c r="L29" s="194"/>
      <c r="M29" s="194"/>
      <c r="N29" s="194"/>
      <c r="O29" s="194"/>
      <c r="Z29" s="231"/>
    </row>
    <row r="30" spans="2:27" s="225" customFormat="1">
      <c r="C30" s="158"/>
      <c r="D30" s="194"/>
      <c r="E30" s="194"/>
      <c r="F30" s="194"/>
      <c r="G30" s="226"/>
      <c r="H30" s="194"/>
      <c r="I30" s="194"/>
      <c r="J30" s="194"/>
      <c r="K30" s="194"/>
      <c r="L30" s="194"/>
      <c r="M30" s="194"/>
      <c r="N30" s="194"/>
      <c r="O30" s="194"/>
      <c r="Z30" s="231"/>
    </row>
    <row r="31" spans="2:27" s="225" customFormat="1">
      <c r="C31" s="158"/>
      <c r="D31" s="194"/>
      <c r="E31" s="194"/>
      <c r="F31" s="194"/>
      <c r="G31" s="226"/>
      <c r="H31" s="194"/>
      <c r="I31" s="194"/>
      <c r="J31" s="194"/>
      <c r="K31" s="194"/>
      <c r="L31" s="194"/>
      <c r="M31" s="194"/>
      <c r="N31" s="194"/>
      <c r="O31" s="194"/>
      <c r="Z31" s="231"/>
    </row>
    <row r="32" spans="2:27" s="234" customFormat="1">
      <c r="C32" s="158"/>
      <c r="D32" s="235"/>
      <c r="E32" s="235"/>
      <c r="F32" s="235"/>
      <c r="G32" s="236"/>
      <c r="H32" s="190"/>
      <c r="I32" s="190"/>
      <c r="J32" s="190"/>
      <c r="K32" s="190"/>
      <c r="L32" s="190"/>
      <c r="M32" s="190"/>
      <c r="N32" s="190"/>
      <c r="O32" s="190"/>
      <c r="P32" s="237"/>
      <c r="Z32" s="180"/>
    </row>
    <row r="33" spans="3:26" s="234" customFormat="1">
      <c r="C33" s="158"/>
      <c r="D33" s="235"/>
      <c r="E33" s="235"/>
      <c r="F33" s="235"/>
      <c r="G33" s="236"/>
      <c r="H33" s="190"/>
      <c r="I33" s="190"/>
      <c r="J33" s="190"/>
      <c r="K33" s="190"/>
      <c r="L33" s="190"/>
      <c r="M33" s="190"/>
      <c r="N33" s="190"/>
      <c r="O33" s="190"/>
      <c r="P33" s="237"/>
      <c r="Z33" s="180"/>
    </row>
    <row r="34" spans="3:26" s="234" customFormat="1">
      <c r="C34" s="158"/>
      <c r="D34" s="235"/>
      <c r="E34" s="235"/>
      <c r="F34" s="235"/>
      <c r="G34" s="236"/>
      <c r="H34" s="190"/>
      <c r="I34" s="190"/>
      <c r="J34" s="190"/>
      <c r="K34" s="190"/>
      <c r="L34" s="190"/>
      <c r="M34" s="190"/>
      <c r="N34" s="190"/>
      <c r="O34" s="190"/>
      <c r="P34" s="237"/>
      <c r="Z34" s="180"/>
    </row>
    <row r="35" spans="3:26" s="234" customFormat="1">
      <c r="C35" s="158"/>
      <c r="D35" s="235"/>
      <c r="E35" s="235"/>
      <c r="F35" s="235"/>
      <c r="G35" s="236"/>
      <c r="H35" s="190"/>
      <c r="I35" s="190"/>
      <c r="J35" s="190"/>
      <c r="K35" s="190"/>
      <c r="L35" s="190"/>
      <c r="M35" s="190"/>
      <c r="N35" s="190"/>
      <c r="O35" s="190"/>
      <c r="P35" s="237"/>
      <c r="Z35" s="180"/>
    </row>
    <row r="36" spans="3:26" s="234" customFormat="1">
      <c r="C36" s="158"/>
      <c r="D36" s="235"/>
      <c r="E36" s="235"/>
      <c r="F36" s="235"/>
      <c r="G36" s="236"/>
      <c r="H36" s="190"/>
      <c r="I36" s="190"/>
      <c r="J36" s="190"/>
      <c r="K36" s="190"/>
      <c r="L36" s="190"/>
      <c r="M36" s="190"/>
      <c r="N36" s="190"/>
      <c r="O36" s="190"/>
      <c r="P36" s="237"/>
      <c r="Z36" s="180"/>
    </row>
    <row r="37" spans="3:26" s="234" customFormat="1">
      <c r="C37" s="158"/>
      <c r="D37" s="235"/>
      <c r="E37" s="235"/>
      <c r="F37" s="235"/>
      <c r="G37" s="236"/>
      <c r="H37" s="190"/>
      <c r="I37" s="190"/>
      <c r="J37" s="190"/>
      <c r="K37" s="190"/>
      <c r="L37" s="190"/>
      <c r="M37" s="190"/>
      <c r="N37" s="190"/>
      <c r="O37" s="190"/>
      <c r="P37" s="237"/>
      <c r="Z37" s="180"/>
    </row>
    <row r="38" spans="3:26" s="234" customFormat="1">
      <c r="C38" s="158"/>
      <c r="D38" s="235"/>
      <c r="E38" s="235"/>
      <c r="F38" s="235"/>
      <c r="G38" s="236"/>
      <c r="H38" s="190"/>
      <c r="I38" s="190"/>
      <c r="J38" s="190"/>
      <c r="K38" s="190"/>
      <c r="L38" s="190"/>
      <c r="M38" s="190"/>
      <c r="N38" s="190"/>
      <c r="O38" s="190"/>
      <c r="P38" s="237"/>
      <c r="Z38" s="180"/>
    </row>
    <row r="39" spans="3:26" s="234" customFormat="1">
      <c r="C39" s="158"/>
      <c r="D39" s="235"/>
      <c r="E39" s="235"/>
      <c r="F39" s="235"/>
      <c r="G39" s="236"/>
      <c r="H39" s="190"/>
      <c r="I39" s="190"/>
      <c r="J39" s="190"/>
      <c r="K39" s="190"/>
      <c r="L39" s="190"/>
      <c r="M39" s="190"/>
      <c r="N39" s="190"/>
      <c r="O39" s="190"/>
      <c r="P39" s="237"/>
      <c r="Z39" s="180"/>
    </row>
    <row r="40" spans="3:26" s="234" customFormat="1">
      <c r="C40" s="158"/>
      <c r="D40" s="235"/>
      <c r="E40" s="235"/>
      <c r="F40" s="235"/>
      <c r="G40" s="236"/>
      <c r="H40" s="190"/>
      <c r="I40" s="190"/>
      <c r="J40" s="190"/>
      <c r="K40" s="190"/>
      <c r="L40" s="190"/>
      <c r="M40" s="190"/>
      <c r="N40" s="190"/>
      <c r="O40" s="190"/>
      <c r="P40" s="237"/>
      <c r="Z40" s="180"/>
    </row>
    <row r="41" spans="3:26" s="234" customFormat="1">
      <c r="C41" s="158"/>
      <c r="D41" s="235"/>
      <c r="E41" s="235"/>
      <c r="F41" s="235"/>
      <c r="G41" s="236"/>
      <c r="H41" s="190"/>
      <c r="I41" s="190"/>
      <c r="J41" s="190"/>
      <c r="K41" s="190"/>
      <c r="L41" s="190"/>
      <c r="M41" s="190"/>
      <c r="N41" s="190"/>
      <c r="O41" s="190"/>
      <c r="P41" s="237"/>
      <c r="Z41" s="180"/>
    </row>
    <row r="42" spans="3:26" s="234" customFormat="1">
      <c r="C42" s="158"/>
      <c r="D42" s="235"/>
      <c r="E42" s="235"/>
      <c r="F42" s="235"/>
      <c r="G42" s="236"/>
      <c r="H42" s="190"/>
      <c r="I42" s="190"/>
      <c r="J42" s="190"/>
      <c r="K42" s="190"/>
      <c r="L42" s="190"/>
      <c r="M42" s="190"/>
      <c r="N42" s="190"/>
      <c r="O42" s="190"/>
      <c r="P42" s="237"/>
      <c r="Z42" s="180"/>
    </row>
    <row r="43" spans="3:26" s="234" customFormat="1">
      <c r="C43" s="158"/>
      <c r="D43" s="235"/>
      <c r="E43" s="235"/>
      <c r="F43" s="235"/>
      <c r="G43" s="236"/>
      <c r="H43" s="190"/>
      <c r="I43" s="190"/>
      <c r="J43" s="190"/>
      <c r="K43" s="190"/>
      <c r="L43" s="190"/>
      <c r="M43" s="190"/>
      <c r="N43" s="190"/>
      <c r="O43" s="190"/>
      <c r="P43" s="237"/>
      <c r="Z43" s="180"/>
    </row>
    <row r="44" spans="3:26" s="234" customFormat="1">
      <c r="C44" s="158"/>
      <c r="D44" s="235"/>
      <c r="E44" s="235"/>
      <c r="F44" s="235"/>
      <c r="G44" s="236"/>
      <c r="H44" s="190"/>
      <c r="I44" s="190"/>
      <c r="J44" s="190"/>
      <c r="K44" s="190"/>
      <c r="L44" s="190"/>
      <c r="M44" s="190"/>
      <c r="N44" s="190"/>
      <c r="O44" s="190"/>
      <c r="P44" s="237"/>
      <c r="Z44" s="180"/>
    </row>
    <row r="45" spans="3:26" s="234" customFormat="1">
      <c r="C45" s="158"/>
      <c r="D45" s="235"/>
      <c r="E45" s="235"/>
      <c r="F45" s="235"/>
      <c r="G45" s="236"/>
      <c r="H45" s="190"/>
      <c r="I45" s="190"/>
      <c r="J45" s="190"/>
      <c r="K45" s="190"/>
      <c r="L45" s="190"/>
      <c r="M45" s="190"/>
      <c r="N45" s="190"/>
      <c r="O45" s="190"/>
      <c r="P45" s="237"/>
      <c r="Z45" s="180"/>
    </row>
    <row r="46" spans="3:26" s="234" customFormat="1">
      <c r="C46" s="158"/>
      <c r="D46" s="235"/>
      <c r="E46" s="235"/>
      <c r="F46" s="235"/>
      <c r="G46" s="236"/>
      <c r="H46" s="190"/>
      <c r="I46" s="190"/>
      <c r="J46" s="190"/>
      <c r="K46" s="190"/>
      <c r="L46" s="190"/>
      <c r="M46" s="190"/>
      <c r="N46" s="190"/>
      <c r="O46" s="190"/>
      <c r="P46" s="237"/>
      <c r="Z46" s="180"/>
    </row>
    <row r="47" spans="3:26" s="234" customFormat="1">
      <c r="C47" s="158"/>
      <c r="D47" s="235"/>
      <c r="E47" s="235"/>
      <c r="F47" s="235"/>
      <c r="G47" s="236"/>
      <c r="H47" s="190"/>
      <c r="I47" s="190"/>
      <c r="J47" s="190"/>
      <c r="K47" s="190"/>
      <c r="L47" s="190"/>
      <c r="M47" s="190"/>
      <c r="N47" s="190"/>
      <c r="O47" s="190"/>
      <c r="P47" s="237"/>
      <c r="Z47" s="180"/>
    </row>
    <row r="48" spans="3:26" s="234" customFormat="1">
      <c r="C48" s="158"/>
      <c r="D48" s="235"/>
      <c r="E48" s="235"/>
      <c r="F48" s="235"/>
      <c r="G48" s="236"/>
      <c r="H48" s="190"/>
      <c r="I48" s="190"/>
      <c r="J48" s="190"/>
      <c r="K48" s="190"/>
      <c r="L48" s="190"/>
      <c r="M48" s="190"/>
      <c r="N48" s="190"/>
      <c r="O48" s="190"/>
      <c r="P48" s="237"/>
      <c r="Z48" s="180"/>
    </row>
    <row r="49" spans="3:26" s="234" customFormat="1">
      <c r="C49" s="158"/>
      <c r="D49" s="235"/>
      <c r="E49" s="235"/>
      <c r="F49" s="235"/>
      <c r="G49" s="236"/>
      <c r="H49" s="190"/>
      <c r="I49" s="190"/>
      <c r="J49" s="190"/>
      <c r="K49" s="190"/>
      <c r="L49" s="190"/>
      <c r="M49" s="190"/>
      <c r="N49" s="190"/>
      <c r="O49" s="190"/>
      <c r="P49" s="237"/>
      <c r="Z49" s="180"/>
    </row>
    <row r="50" spans="3:26" s="234" customFormat="1">
      <c r="C50" s="158"/>
      <c r="D50" s="235"/>
      <c r="E50" s="235"/>
      <c r="F50" s="235"/>
      <c r="G50" s="236"/>
      <c r="H50" s="190"/>
      <c r="I50" s="190"/>
      <c r="J50" s="190"/>
      <c r="K50" s="190"/>
      <c r="L50" s="190"/>
      <c r="M50" s="190"/>
      <c r="N50" s="190"/>
      <c r="O50" s="190"/>
      <c r="P50" s="237"/>
      <c r="Z50" s="180"/>
    </row>
    <row r="51" spans="3:26" s="234" customFormat="1">
      <c r="C51" s="158"/>
      <c r="D51" s="235"/>
      <c r="E51" s="235"/>
      <c r="F51" s="235"/>
      <c r="G51" s="236"/>
      <c r="H51" s="190"/>
      <c r="I51" s="190"/>
      <c r="J51" s="190"/>
      <c r="K51" s="190"/>
      <c r="L51" s="190"/>
      <c r="M51" s="190"/>
      <c r="N51" s="190"/>
      <c r="O51" s="190"/>
      <c r="P51" s="237"/>
      <c r="Z51" s="180"/>
    </row>
    <row r="52" spans="3:26" s="234" customFormat="1">
      <c r="C52" s="158"/>
      <c r="D52" s="235"/>
      <c r="E52" s="235"/>
      <c r="F52" s="235"/>
      <c r="G52" s="236"/>
      <c r="H52" s="190"/>
      <c r="I52" s="190"/>
      <c r="J52" s="190"/>
      <c r="K52" s="190"/>
      <c r="L52" s="190"/>
      <c r="M52" s="190"/>
      <c r="N52" s="190"/>
      <c r="O52" s="190"/>
      <c r="P52" s="237"/>
      <c r="Z52" s="180"/>
    </row>
    <row r="53" spans="3:26" s="234" customFormat="1">
      <c r="C53" s="158"/>
      <c r="D53" s="235"/>
      <c r="E53" s="235"/>
      <c r="F53" s="235"/>
      <c r="G53" s="236"/>
      <c r="H53" s="190"/>
      <c r="I53" s="190"/>
      <c r="J53" s="190"/>
      <c r="K53" s="190"/>
      <c r="L53" s="190"/>
      <c r="M53" s="190"/>
      <c r="N53" s="190"/>
      <c r="O53" s="190"/>
      <c r="P53" s="237"/>
      <c r="Z53" s="180"/>
    </row>
    <row r="54" spans="3:26" s="234" customFormat="1">
      <c r="C54" s="158"/>
      <c r="D54" s="235"/>
      <c r="E54" s="235"/>
      <c r="F54" s="235"/>
      <c r="G54" s="236"/>
      <c r="H54" s="190"/>
      <c r="I54" s="190"/>
      <c r="J54" s="190"/>
      <c r="K54" s="190"/>
      <c r="L54" s="190"/>
      <c r="M54" s="190"/>
      <c r="N54" s="190"/>
      <c r="O54" s="190"/>
      <c r="P54" s="237"/>
      <c r="Z54" s="180"/>
    </row>
    <row r="55" spans="3:26" s="234" customFormat="1">
      <c r="C55" s="158"/>
      <c r="D55" s="235"/>
      <c r="E55" s="235"/>
      <c r="F55" s="235"/>
      <c r="G55" s="236"/>
      <c r="H55" s="190"/>
      <c r="I55" s="190"/>
      <c r="J55" s="190"/>
      <c r="K55" s="190"/>
      <c r="L55" s="190"/>
      <c r="M55" s="190"/>
      <c r="N55" s="190"/>
      <c r="O55" s="190"/>
      <c r="P55" s="237"/>
      <c r="Z55" s="180"/>
    </row>
    <row r="56" spans="3:26" s="234" customFormat="1">
      <c r="C56" s="158"/>
      <c r="D56" s="235"/>
      <c r="E56" s="235"/>
      <c r="F56" s="235"/>
      <c r="G56" s="236"/>
      <c r="H56" s="190"/>
      <c r="I56" s="190"/>
      <c r="J56" s="190"/>
      <c r="K56" s="190"/>
      <c r="L56" s="190"/>
      <c r="M56" s="190"/>
      <c r="N56" s="190"/>
      <c r="O56" s="190"/>
      <c r="P56" s="237"/>
      <c r="Z56" s="180"/>
    </row>
  </sheetData>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12"/>
  </sheetPr>
  <dimension ref="B1:AA56"/>
  <sheetViews>
    <sheetView showZeros="0" workbookViewId="0">
      <selection activeCell="T25" sqref="T25"/>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240" t="s">
        <v>67</v>
      </c>
      <c r="D1" s="179"/>
    </row>
    <row r="2" spans="2:27">
      <c r="C2" s="241"/>
      <c r="G2" s="179"/>
    </row>
    <row r="3" spans="2:27" s="177" customFormat="1" ht="13.5" thickBot="1">
      <c r="C3" s="252" t="s">
        <v>221</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ht="13.5" thickTop="1">
      <c r="B4" s="216" t="s">
        <v>141</v>
      </c>
      <c r="C4" s="217"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1" si="2">SUM(D4:Y4)</f>
        <v>370</v>
      </c>
      <c r="AA4" s="158" t="str">
        <f>C4</f>
        <v>Evans</v>
      </c>
    </row>
    <row r="5" spans="2:27">
      <c r="B5" s="216" t="s">
        <v>152</v>
      </c>
      <c r="C5" s="217" t="s">
        <v>98</v>
      </c>
      <c r="D5" s="159">
        <f t="shared" si="0"/>
        <v>19</v>
      </c>
      <c r="E5" s="159">
        <f t="shared" si="0"/>
        <v>30</v>
      </c>
      <c r="F5" s="159">
        <f t="shared" si="0"/>
        <v>4</v>
      </c>
      <c r="G5" s="159">
        <f t="shared" si="0"/>
        <v>0</v>
      </c>
      <c r="H5" s="159">
        <f t="shared" si="0"/>
        <v>0</v>
      </c>
      <c r="I5" s="159">
        <f t="shared" si="0"/>
        <v>0</v>
      </c>
      <c r="J5" s="159">
        <f t="shared" si="0"/>
        <v>0</v>
      </c>
      <c r="K5" s="159">
        <f t="shared" si="0"/>
        <v>0</v>
      </c>
      <c r="L5" s="159">
        <f t="shared" si="0"/>
        <v>0</v>
      </c>
      <c r="M5" s="159">
        <f t="shared" si="0"/>
        <v>0</v>
      </c>
      <c r="N5" s="159">
        <f t="shared" si="1"/>
        <v>0</v>
      </c>
      <c r="O5" s="159">
        <f t="shared" si="1"/>
        <v>0</v>
      </c>
      <c r="P5" s="159">
        <f t="shared" si="1"/>
        <v>0</v>
      </c>
      <c r="Q5" s="159">
        <f t="shared" si="1"/>
        <v>18</v>
      </c>
      <c r="R5" s="159">
        <f t="shared" si="1"/>
        <v>24</v>
      </c>
      <c r="S5" s="159">
        <f t="shared" si="1"/>
        <v>0</v>
      </c>
      <c r="T5" s="159">
        <f t="shared" si="1"/>
        <v>0</v>
      </c>
      <c r="U5" s="159">
        <f t="shared" si="1"/>
        <v>0</v>
      </c>
      <c r="V5" s="159">
        <f t="shared" si="1"/>
        <v>0</v>
      </c>
      <c r="W5" s="159">
        <f t="shared" si="1"/>
        <v>0</v>
      </c>
      <c r="X5" s="159">
        <f t="shared" si="1"/>
        <v>0</v>
      </c>
      <c r="Y5" s="159">
        <f t="shared" si="1"/>
        <v>0</v>
      </c>
      <c r="Z5" s="164">
        <f t="shared" si="2"/>
        <v>95</v>
      </c>
      <c r="AA5" s="158" t="str">
        <f t="shared" ref="AA5:AA20" si="3">C5</f>
        <v>Gilbert</v>
      </c>
    </row>
    <row r="6" spans="2:27">
      <c r="B6" s="216" t="s">
        <v>158</v>
      </c>
      <c r="C6" s="217" t="s">
        <v>159</v>
      </c>
      <c r="D6" s="159">
        <f t="shared" si="0"/>
        <v>0</v>
      </c>
      <c r="E6" s="159">
        <f t="shared" si="0"/>
        <v>0</v>
      </c>
      <c r="F6" s="159">
        <f t="shared" si="0"/>
        <v>0</v>
      </c>
      <c r="G6" s="159">
        <f t="shared" si="0"/>
        <v>6</v>
      </c>
      <c r="H6" s="159">
        <f t="shared" si="0"/>
        <v>0</v>
      </c>
      <c r="I6" s="159">
        <f t="shared" si="0"/>
        <v>0</v>
      </c>
      <c r="J6" s="159">
        <f t="shared" si="0"/>
        <v>0</v>
      </c>
      <c r="K6" s="159">
        <f t="shared" si="0"/>
        <v>14</v>
      </c>
      <c r="L6" s="159">
        <f t="shared" si="0"/>
        <v>16</v>
      </c>
      <c r="M6" s="159">
        <f t="shared" si="0"/>
        <v>0</v>
      </c>
      <c r="N6" s="159">
        <f t="shared" si="1"/>
        <v>0</v>
      </c>
      <c r="O6" s="159">
        <f t="shared" si="1"/>
        <v>16</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52</v>
      </c>
      <c r="AA6" s="158" t="str">
        <f t="shared" si="3"/>
        <v>Schleck</v>
      </c>
    </row>
    <row r="7" spans="2:27">
      <c r="B7" s="216" t="s">
        <v>222</v>
      </c>
      <c r="C7" s="217" t="s">
        <v>79</v>
      </c>
      <c r="D7" s="159">
        <f t="shared" si="0"/>
        <v>50</v>
      </c>
      <c r="E7" s="159">
        <f t="shared" si="0"/>
        <v>45</v>
      </c>
      <c r="F7" s="159">
        <f t="shared" si="0"/>
        <v>13</v>
      </c>
      <c r="G7" s="159">
        <f t="shared" si="0"/>
        <v>38</v>
      </c>
      <c r="H7" s="159">
        <f t="shared" si="0"/>
        <v>10</v>
      </c>
      <c r="I7" s="159">
        <f t="shared" si="0"/>
        <v>10</v>
      </c>
      <c r="J7" s="159">
        <f t="shared" si="0"/>
        <v>10</v>
      </c>
      <c r="K7" s="159">
        <f t="shared" si="0"/>
        <v>6</v>
      </c>
      <c r="L7" s="159">
        <f t="shared" si="0"/>
        <v>0</v>
      </c>
      <c r="M7" s="159">
        <f t="shared" si="0"/>
        <v>26</v>
      </c>
      <c r="N7" s="159">
        <f t="shared" si="1"/>
        <v>0</v>
      </c>
      <c r="O7" s="159">
        <f t="shared" si="1"/>
        <v>0</v>
      </c>
      <c r="P7" s="159">
        <f t="shared" si="1"/>
        <v>0</v>
      </c>
      <c r="Q7" s="159">
        <f t="shared" si="1"/>
        <v>0</v>
      </c>
      <c r="R7" s="159">
        <f t="shared" si="1"/>
        <v>0</v>
      </c>
      <c r="S7" s="159">
        <f t="shared" si="1"/>
        <v>0</v>
      </c>
      <c r="T7" s="159">
        <f t="shared" si="1"/>
        <v>0</v>
      </c>
      <c r="U7" s="159">
        <f t="shared" si="1"/>
        <v>0</v>
      </c>
      <c r="V7" s="159">
        <f t="shared" si="1"/>
        <v>0</v>
      </c>
      <c r="W7" s="159">
        <f t="shared" si="1"/>
        <v>0</v>
      </c>
      <c r="X7" s="159">
        <f t="shared" si="1"/>
        <v>0</v>
      </c>
      <c r="Y7" s="159">
        <f t="shared" si="1"/>
        <v>0</v>
      </c>
      <c r="Z7" s="164">
        <f t="shared" si="2"/>
        <v>208</v>
      </c>
      <c r="AA7" s="158" t="str">
        <f t="shared" si="3"/>
        <v>Cancellara</v>
      </c>
    </row>
    <row r="8" spans="2:27">
      <c r="B8" s="216" t="s">
        <v>223</v>
      </c>
      <c r="C8" s="217" t="s">
        <v>89</v>
      </c>
      <c r="D8" s="159">
        <f t="shared" si="0"/>
        <v>0</v>
      </c>
      <c r="E8" s="159">
        <f t="shared" si="0"/>
        <v>0</v>
      </c>
      <c r="F8" s="159">
        <f t="shared" si="0"/>
        <v>0</v>
      </c>
      <c r="G8" s="159">
        <f t="shared" si="0"/>
        <v>0</v>
      </c>
      <c r="H8" s="159">
        <f t="shared" si="0"/>
        <v>0</v>
      </c>
      <c r="I8" s="159">
        <f t="shared" si="0"/>
        <v>0</v>
      </c>
      <c r="J8" s="159">
        <f t="shared" si="0"/>
        <v>0</v>
      </c>
      <c r="K8" s="159">
        <f t="shared" si="0"/>
        <v>0</v>
      </c>
      <c r="L8" s="159">
        <f t="shared" si="0"/>
        <v>0</v>
      </c>
      <c r="M8" s="159">
        <f t="shared" si="0"/>
        <v>0</v>
      </c>
      <c r="N8" s="159">
        <f t="shared" si="1"/>
        <v>40</v>
      </c>
      <c r="O8" s="159">
        <f t="shared" si="1"/>
        <v>0</v>
      </c>
      <c r="P8" s="159">
        <f t="shared" si="1"/>
        <v>0</v>
      </c>
      <c r="Q8" s="159">
        <f t="shared" si="1"/>
        <v>0</v>
      </c>
      <c r="R8" s="159">
        <f t="shared" si="1"/>
        <v>2</v>
      </c>
      <c r="S8" s="159">
        <f t="shared" si="1"/>
        <v>27</v>
      </c>
      <c r="T8" s="159">
        <f t="shared" si="1"/>
        <v>40</v>
      </c>
      <c r="U8" s="159">
        <f t="shared" si="1"/>
        <v>5</v>
      </c>
      <c r="V8" s="159">
        <f t="shared" si="1"/>
        <v>5</v>
      </c>
      <c r="W8" s="159">
        <f t="shared" si="1"/>
        <v>5</v>
      </c>
      <c r="X8" s="159">
        <f t="shared" si="1"/>
        <v>5</v>
      </c>
      <c r="Y8" s="159">
        <f t="shared" si="1"/>
        <v>10</v>
      </c>
      <c r="Z8" s="164">
        <f t="shared" si="2"/>
        <v>139</v>
      </c>
      <c r="AA8" s="158" t="str">
        <f t="shared" si="3"/>
        <v>Voeckler</v>
      </c>
    </row>
    <row r="9" spans="2:27">
      <c r="B9" s="216" t="s">
        <v>206</v>
      </c>
      <c r="C9" s="217" t="s">
        <v>207</v>
      </c>
      <c r="D9" s="159">
        <f t="shared" si="0"/>
        <v>0</v>
      </c>
      <c r="E9" s="159">
        <f t="shared" si="0"/>
        <v>7</v>
      </c>
      <c r="F9" s="159">
        <f t="shared" si="0"/>
        <v>0</v>
      </c>
      <c r="G9" s="159">
        <f t="shared" si="0"/>
        <v>0</v>
      </c>
      <c r="H9" s="159">
        <f t="shared" si="0"/>
        <v>0</v>
      </c>
      <c r="I9" s="159">
        <f t="shared" si="0"/>
        <v>0</v>
      </c>
      <c r="J9" s="159">
        <f t="shared" si="0"/>
        <v>0</v>
      </c>
      <c r="K9" s="159">
        <f t="shared" si="0"/>
        <v>19</v>
      </c>
      <c r="L9" s="159">
        <f t="shared" si="0"/>
        <v>10</v>
      </c>
      <c r="M9" s="159">
        <f t="shared" si="0"/>
        <v>0</v>
      </c>
      <c r="N9" s="159">
        <f t="shared" si="1"/>
        <v>18</v>
      </c>
      <c r="O9" s="159">
        <f t="shared" si="1"/>
        <v>41</v>
      </c>
      <c r="P9" s="159">
        <f t="shared" si="1"/>
        <v>6</v>
      </c>
      <c r="Q9" s="159">
        <f t="shared" si="1"/>
        <v>6</v>
      </c>
      <c r="R9" s="159">
        <f t="shared" si="1"/>
        <v>6</v>
      </c>
      <c r="S9" s="159">
        <f t="shared" si="1"/>
        <v>6</v>
      </c>
      <c r="T9" s="159">
        <f t="shared" si="1"/>
        <v>4</v>
      </c>
      <c r="U9" s="159">
        <f t="shared" si="1"/>
        <v>27</v>
      </c>
      <c r="V9" s="159">
        <f t="shared" si="1"/>
        <v>5</v>
      </c>
      <c r="W9" s="159">
        <f t="shared" si="1"/>
        <v>5</v>
      </c>
      <c r="X9" s="159">
        <f t="shared" si="1"/>
        <v>5</v>
      </c>
      <c r="Y9" s="159">
        <f t="shared" si="1"/>
        <v>39</v>
      </c>
      <c r="Z9" s="164">
        <f t="shared" si="2"/>
        <v>204</v>
      </c>
      <c r="AA9" s="158" t="str">
        <f t="shared" si="3"/>
        <v>Rolland</v>
      </c>
    </row>
    <row r="10" spans="2:27">
      <c r="B10" s="216" t="s">
        <v>204</v>
      </c>
      <c r="C10" s="217" t="s">
        <v>68</v>
      </c>
      <c r="D10" s="159">
        <f t="shared" si="0"/>
        <v>0</v>
      </c>
      <c r="E10" s="159">
        <f t="shared" si="0"/>
        <v>0</v>
      </c>
      <c r="F10" s="159">
        <f t="shared" si="0"/>
        <v>0</v>
      </c>
      <c r="G10" s="159">
        <f t="shared" si="0"/>
        <v>18</v>
      </c>
      <c r="H10" s="159">
        <f t="shared" si="0"/>
        <v>0</v>
      </c>
      <c r="I10" s="159">
        <f t="shared" si="0"/>
        <v>9</v>
      </c>
      <c r="J10" s="159">
        <f t="shared" si="0"/>
        <v>7</v>
      </c>
      <c r="K10" s="159">
        <f t="shared" si="0"/>
        <v>10</v>
      </c>
      <c r="L10" s="159">
        <f t="shared" si="0"/>
        <v>0</v>
      </c>
      <c r="M10" s="159">
        <f t="shared" si="0"/>
        <v>0</v>
      </c>
      <c r="N10" s="159">
        <f t="shared" si="1"/>
        <v>0</v>
      </c>
      <c r="O10" s="159">
        <f t="shared" si="1"/>
        <v>0</v>
      </c>
      <c r="P10" s="159">
        <f t="shared" si="1"/>
        <v>0</v>
      </c>
      <c r="Q10" s="159">
        <f t="shared" si="1"/>
        <v>0</v>
      </c>
      <c r="R10" s="159">
        <f t="shared" si="1"/>
        <v>0</v>
      </c>
      <c r="S10" s="159">
        <f t="shared" si="1"/>
        <v>0</v>
      </c>
      <c r="T10" s="159">
        <f t="shared" si="1"/>
        <v>0</v>
      </c>
      <c r="U10" s="159">
        <f t="shared" si="1"/>
        <v>0</v>
      </c>
      <c r="V10" s="159">
        <f t="shared" si="1"/>
        <v>0</v>
      </c>
      <c r="W10" s="159">
        <f t="shared" si="1"/>
        <v>0</v>
      </c>
      <c r="X10" s="159">
        <f t="shared" si="1"/>
        <v>0</v>
      </c>
      <c r="Y10" s="159">
        <f t="shared" si="1"/>
        <v>0</v>
      </c>
      <c r="Z10" s="164">
        <f t="shared" si="2"/>
        <v>44</v>
      </c>
      <c r="AA10" s="158" t="str">
        <f t="shared" si="3"/>
        <v>Sanchez</v>
      </c>
    </row>
    <row r="11" spans="2:27">
      <c r="B11" s="216" t="s">
        <v>129</v>
      </c>
      <c r="C11" s="217" t="s">
        <v>130</v>
      </c>
      <c r="D11" s="159">
        <f t="shared" si="0"/>
        <v>0</v>
      </c>
      <c r="E11" s="159">
        <f t="shared" si="0"/>
        <v>43</v>
      </c>
      <c r="F11" s="159">
        <f t="shared" si="0"/>
        <v>27</v>
      </c>
      <c r="G11" s="159">
        <f t="shared" si="0"/>
        <v>43</v>
      </c>
      <c r="H11" s="159">
        <f t="shared" si="0"/>
        <v>30</v>
      </c>
      <c r="I11" s="159">
        <f t="shared" si="0"/>
        <v>8</v>
      </c>
      <c r="J11" s="159">
        <f t="shared" si="0"/>
        <v>46</v>
      </c>
      <c r="K11" s="159">
        <f t="shared" si="0"/>
        <v>5</v>
      </c>
      <c r="L11" s="159">
        <f t="shared" si="0"/>
        <v>5</v>
      </c>
      <c r="M11" s="159">
        <f t="shared" si="0"/>
        <v>5</v>
      </c>
      <c r="N11" s="159">
        <f t="shared" si="1"/>
        <v>5</v>
      </c>
      <c r="O11" s="159">
        <f t="shared" si="1"/>
        <v>5</v>
      </c>
      <c r="P11" s="159">
        <f t="shared" si="1"/>
        <v>25</v>
      </c>
      <c r="Q11" s="159">
        <f t="shared" si="1"/>
        <v>35</v>
      </c>
      <c r="R11" s="159">
        <f t="shared" si="1"/>
        <v>35</v>
      </c>
      <c r="S11" s="159">
        <f t="shared" si="1"/>
        <v>22</v>
      </c>
      <c r="T11" s="159">
        <f t="shared" si="1"/>
        <v>5</v>
      </c>
      <c r="U11" s="159">
        <f t="shared" si="1"/>
        <v>5</v>
      </c>
      <c r="V11" s="159">
        <f t="shared" si="1"/>
        <v>31</v>
      </c>
      <c r="W11" s="159">
        <f t="shared" si="1"/>
        <v>5</v>
      </c>
      <c r="X11" s="159">
        <f t="shared" si="1"/>
        <v>35</v>
      </c>
      <c r="Y11" s="159">
        <f t="shared" si="1"/>
        <v>10</v>
      </c>
      <c r="Z11" s="164">
        <f t="shared" si="2"/>
        <v>430</v>
      </c>
      <c r="AA11" s="158" t="str">
        <f t="shared" si="3"/>
        <v>Sagan</v>
      </c>
    </row>
    <row r="12" spans="2:27">
      <c r="B12" s="216" t="s">
        <v>71</v>
      </c>
      <c r="C12" s="217" t="s">
        <v>72</v>
      </c>
      <c r="D12" s="159">
        <f t="shared" si="0"/>
        <v>43</v>
      </c>
      <c r="E12" s="159">
        <f t="shared" si="0"/>
        <v>19</v>
      </c>
      <c r="F12" s="159">
        <f t="shared" si="0"/>
        <v>9</v>
      </c>
      <c r="G12" s="159">
        <f t="shared" si="0"/>
        <v>9</v>
      </c>
      <c r="H12" s="159">
        <f t="shared" si="0"/>
        <v>9</v>
      </c>
      <c r="I12" s="159">
        <f t="shared" si="0"/>
        <v>17</v>
      </c>
      <c r="J12" s="159">
        <f t="shared" si="0"/>
        <v>9</v>
      </c>
      <c r="K12" s="159">
        <f t="shared" si="0"/>
        <v>39</v>
      </c>
      <c r="L12" s="159">
        <f t="shared" si="0"/>
        <v>35</v>
      </c>
      <c r="M12" s="159">
        <f t="shared" si="0"/>
        <v>46</v>
      </c>
      <c r="N12" s="159">
        <f t="shared" si="1"/>
        <v>23</v>
      </c>
      <c r="O12" s="159">
        <f t="shared" si="1"/>
        <v>30</v>
      </c>
      <c r="P12" s="159">
        <f t="shared" si="1"/>
        <v>24</v>
      </c>
      <c r="Q12" s="159">
        <f t="shared" si="1"/>
        <v>24</v>
      </c>
      <c r="R12" s="159">
        <f t="shared" si="1"/>
        <v>21</v>
      </c>
      <c r="S12" s="159">
        <f t="shared" si="1"/>
        <v>10</v>
      </c>
      <c r="T12" s="159">
        <f t="shared" si="1"/>
        <v>24</v>
      </c>
      <c r="U12" s="159">
        <f t="shared" si="1"/>
        <v>36</v>
      </c>
      <c r="V12" s="159">
        <f t="shared" si="1"/>
        <v>17</v>
      </c>
      <c r="W12" s="159">
        <f t="shared" si="1"/>
        <v>45</v>
      </c>
      <c r="X12" s="159">
        <f t="shared" si="1"/>
        <v>10</v>
      </c>
      <c r="Y12" s="159">
        <f t="shared" si="1"/>
        <v>70</v>
      </c>
      <c r="Z12" s="164">
        <f t="shared" si="2"/>
        <v>569</v>
      </c>
      <c r="AA12" s="158" t="str">
        <f t="shared" si="3"/>
        <v>Wiggins</v>
      </c>
    </row>
    <row r="13" spans="2:27">
      <c r="B13" s="216" t="s">
        <v>224</v>
      </c>
      <c r="C13" s="217" t="s">
        <v>85</v>
      </c>
      <c r="D13" s="159">
        <f t="shared" si="0"/>
        <v>29</v>
      </c>
      <c r="E13" s="159">
        <f t="shared" si="0"/>
        <v>35</v>
      </c>
      <c r="F13" s="159">
        <f t="shared" si="0"/>
        <v>14</v>
      </c>
      <c r="G13" s="159">
        <f t="shared" si="0"/>
        <v>38</v>
      </c>
      <c r="H13" s="159">
        <f t="shared" si="0"/>
        <v>24</v>
      </c>
      <c r="I13" s="159">
        <f t="shared" si="0"/>
        <v>6</v>
      </c>
      <c r="J13" s="159">
        <f t="shared" si="0"/>
        <v>0</v>
      </c>
      <c r="K13" s="159">
        <f t="shared" si="0"/>
        <v>0</v>
      </c>
      <c r="L13" s="159">
        <f t="shared" si="0"/>
        <v>0</v>
      </c>
      <c r="M13" s="159">
        <f t="shared" si="0"/>
        <v>0</v>
      </c>
      <c r="N13" s="159">
        <f t="shared" si="1"/>
        <v>0</v>
      </c>
      <c r="O13" s="159">
        <f t="shared" si="1"/>
        <v>0</v>
      </c>
      <c r="P13" s="159">
        <f t="shared" si="1"/>
        <v>0</v>
      </c>
      <c r="Q13" s="159">
        <f t="shared" si="1"/>
        <v>27</v>
      </c>
      <c r="R13" s="159">
        <f t="shared" si="1"/>
        <v>1</v>
      </c>
      <c r="S13" s="159">
        <f t="shared" si="1"/>
        <v>1</v>
      </c>
      <c r="T13" s="159">
        <f t="shared" si="1"/>
        <v>1</v>
      </c>
      <c r="U13" s="159">
        <f t="shared" si="1"/>
        <v>1</v>
      </c>
      <c r="V13" s="159">
        <f t="shared" si="1"/>
        <v>14</v>
      </c>
      <c r="W13" s="159">
        <f t="shared" si="1"/>
        <v>1</v>
      </c>
      <c r="X13" s="159">
        <f t="shared" si="1"/>
        <v>18</v>
      </c>
      <c r="Y13" s="159">
        <f t="shared" si="1"/>
        <v>1</v>
      </c>
      <c r="Z13" s="164">
        <f t="shared" si="2"/>
        <v>211</v>
      </c>
      <c r="AA13" s="158" t="str">
        <f t="shared" si="3"/>
        <v>Boasson Hagen</v>
      </c>
    </row>
    <row r="14" spans="2:27">
      <c r="B14" s="216" t="s">
        <v>150</v>
      </c>
      <c r="C14" s="217" t="s">
        <v>75</v>
      </c>
      <c r="D14" s="159">
        <f t="shared" ref="D14:M20" si="4">INDEX(scorematrix,MATCH($C14,renners,0),MATCH(D$3,etappes,0))</f>
        <v>0</v>
      </c>
      <c r="E14" s="159">
        <f t="shared" si="4"/>
        <v>0</v>
      </c>
      <c r="F14" s="159">
        <f t="shared" si="4"/>
        <v>39</v>
      </c>
      <c r="G14" s="159">
        <f t="shared" si="4"/>
        <v>3</v>
      </c>
      <c r="H14" s="159">
        <f t="shared" si="4"/>
        <v>2</v>
      </c>
      <c r="I14" s="159">
        <f t="shared" si="4"/>
        <v>24</v>
      </c>
      <c r="J14" s="159">
        <f t="shared" si="4"/>
        <v>2</v>
      </c>
      <c r="K14" s="159">
        <f t="shared" si="4"/>
        <v>2</v>
      </c>
      <c r="L14" s="159">
        <f t="shared" si="4"/>
        <v>2</v>
      </c>
      <c r="M14" s="159">
        <f t="shared" si="4"/>
        <v>2</v>
      </c>
      <c r="N14" s="159">
        <f t="shared" ref="N14:Y20" si="5">INDEX(scorematrix,MATCH($C14,renners,0),MATCH(N$3,etappes,0))</f>
        <v>2</v>
      </c>
      <c r="O14" s="159">
        <f t="shared" si="5"/>
        <v>2</v>
      </c>
      <c r="P14" s="159">
        <f t="shared" si="5"/>
        <v>2</v>
      </c>
      <c r="Q14" s="159">
        <f t="shared" si="5"/>
        <v>2</v>
      </c>
      <c r="R14" s="159">
        <f t="shared" si="5"/>
        <v>2</v>
      </c>
      <c r="S14" s="159">
        <f t="shared" si="5"/>
        <v>2</v>
      </c>
      <c r="T14" s="159">
        <f t="shared" si="5"/>
        <v>2</v>
      </c>
      <c r="U14" s="159">
        <f t="shared" si="5"/>
        <v>2</v>
      </c>
      <c r="V14" s="159">
        <f t="shared" si="5"/>
        <v>37</v>
      </c>
      <c r="W14" s="159">
        <f t="shared" si="5"/>
        <v>2</v>
      </c>
      <c r="X14" s="159">
        <f t="shared" si="5"/>
        <v>37</v>
      </c>
      <c r="Y14" s="159">
        <f t="shared" si="5"/>
        <v>3</v>
      </c>
      <c r="Z14" s="164">
        <f t="shared" si="2"/>
        <v>171</v>
      </c>
      <c r="AA14" s="158" t="str">
        <f t="shared" si="3"/>
        <v>Cavendish</v>
      </c>
    </row>
    <row r="15" spans="2:27">
      <c r="B15" s="216" t="s">
        <v>160</v>
      </c>
      <c r="C15" s="217" t="s">
        <v>218</v>
      </c>
      <c r="D15" s="159">
        <f t="shared" si="4"/>
        <v>0</v>
      </c>
      <c r="E15" s="159">
        <f t="shared" si="4"/>
        <v>15</v>
      </c>
      <c r="F15" s="159">
        <f t="shared" si="4"/>
        <v>0</v>
      </c>
      <c r="G15" s="159">
        <f t="shared" si="4"/>
        <v>0</v>
      </c>
      <c r="H15" s="159">
        <f t="shared" si="4"/>
        <v>0</v>
      </c>
      <c r="I15" s="159">
        <f t="shared" si="4"/>
        <v>0</v>
      </c>
      <c r="J15" s="159">
        <f t="shared" si="4"/>
        <v>0</v>
      </c>
      <c r="K15" s="159">
        <f t="shared" si="4"/>
        <v>0</v>
      </c>
      <c r="L15" s="159">
        <f t="shared" si="4"/>
        <v>23</v>
      </c>
      <c r="M15" s="159">
        <f t="shared" si="4"/>
        <v>2</v>
      </c>
      <c r="N15" s="159">
        <f t="shared" si="5"/>
        <v>20</v>
      </c>
      <c r="O15" s="159">
        <f t="shared" si="5"/>
        <v>30</v>
      </c>
      <c r="P15" s="159">
        <f t="shared" si="5"/>
        <v>14</v>
      </c>
      <c r="Q15" s="159">
        <f t="shared" si="5"/>
        <v>15</v>
      </c>
      <c r="R15" s="159">
        <f t="shared" si="5"/>
        <v>6</v>
      </c>
      <c r="S15" s="159">
        <f t="shared" si="5"/>
        <v>6</v>
      </c>
      <c r="T15" s="159">
        <f t="shared" si="5"/>
        <v>17</v>
      </c>
      <c r="U15" s="159">
        <f t="shared" si="5"/>
        <v>27</v>
      </c>
      <c r="V15" s="159">
        <f t="shared" si="5"/>
        <v>7</v>
      </c>
      <c r="W15" s="159">
        <f t="shared" si="5"/>
        <v>7</v>
      </c>
      <c r="X15" s="159">
        <f t="shared" si="5"/>
        <v>7</v>
      </c>
      <c r="Y15" s="159">
        <f t="shared" si="5"/>
        <v>48</v>
      </c>
      <c r="Z15" s="164">
        <f t="shared" si="2"/>
        <v>244</v>
      </c>
      <c r="AA15" s="158" t="str">
        <f t="shared" si="3"/>
        <v>van den Broeck</v>
      </c>
    </row>
    <row r="16" spans="2:27">
      <c r="B16" s="216" t="s">
        <v>122</v>
      </c>
      <c r="C16" s="217" t="s">
        <v>123</v>
      </c>
      <c r="D16" s="159">
        <f t="shared" si="4"/>
        <v>0</v>
      </c>
      <c r="E16" s="159">
        <f t="shared" si="4"/>
        <v>0</v>
      </c>
      <c r="F16" s="159">
        <f t="shared" si="4"/>
        <v>0</v>
      </c>
      <c r="G16" s="159">
        <f t="shared" si="4"/>
        <v>0</v>
      </c>
      <c r="H16" s="159">
        <f t="shared" si="4"/>
        <v>0</v>
      </c>
      <c r="I16" s="159">
        <f t="shared" si="4"/>
        <v>0</v>
      </c>
      <c r="J16" s="159">
        <f t="shared" si="4"/>
        <v>0</v>
      </c>
      <c r="K16" s="159">
        <f t="shared" si="4"/>
        <v>0</v>
      </c>
      <c r="L16" s="159">
        <f t="shared" si="4"/>
        <v>0</v>
      </c>
      <c r="M16" s="159">
        <f t="shared" si="4"/>
        <v>9</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9</v>
      </c>
      <c r="AA16" s="158" t="str">
        <f t="shared" si="3"/>
        <v>Westra</v>
      </c>
    </row>
    <row r="17" spans="2:27">
      <c r="B17" s="216" t="s">
        <v>136</v>
      </c>
      <c r="C17" s="217" t="s">
        <v>137</v>
      </c>
      <c r="D17" s="159">
        <f t="shared" si="4"/>
        <v>21</v>
      </c>
      <c r="E17" s="159">
        <f t="shared" si="4"/>
        <v>5</v>
      </c>
      <c r="F17" s="159">
        <f t="shared" si="4"/>
        <v>5</v>
      </c>
      <c r="G17" s="159">
        <f t="shared" si="4"/>
        <v>5</v>
      </c>
      <c r="H17" s="159">
        <f t="shared" si="4"/>
        <v>5</v>
      </c>
      <c r="I17" s="159">
        <f t="shared" si="4"/>
        <v>5</v>
      </c>
      <c r="J17" s="159">
        <f t="shared" si="4"/>
        <v>6</v>
      </c>
      <c r="K17" s="159">
        <f t="shared" si="4"/>
        <v>23</v>
      </c>
      <c r="L17" s="159">
        <f t="shared" si="4"/>
        <v>25</v>
      </c>
      <c r="M17" s="159">
        <f t="shared" si="4"/>
        <v>23</v>
      </c>
      <c r="N17" s="159">
        <f t="shared" si="5"/>
        <v>16</v>
      </c>
      <c r="O17" s="159">
        <f t="shared" si="5"/>
        <v>0</v>
      </c>
      <c r="P17" s="159">
        <f t="shared" si="5"/>
        <v>0</v>
      </c>
      <c r="Q17" s="159">
        <f t="shared" si="5"/>
        <v>0</v>
      </c>
      <c r="R17" s="159">
        <f t="shared" si="5"/>
        <v>0</v>
      </c>
      <c r="S17" s="159">
        <f t="shared" si="5"/>
        <v>0</v>
      </c>
      <c r="T17" s="159">
        <f t="shared" si="5"/>
        <v>0</v>
      </c>
      <c r="U17" s="159">
        <f t="shared" si="5"/>
        <v>11</v>
      </c>
      <c r="V17" s="159">
        <f t="shared" si="5"/>
        <v>0</v>
      </c>
      <c r="W17" s="159">
        <f t="shared" si="5"/>
        <v>0</v>
      </c>
      <c r="X17" s="159">
        <f t="shared" si="5"/>
        <v>0</v>
      </c>
      <c r="Y17" s="159">
        <f t="shared" si="5"/>
        <v>22</v>
      </c>
      <c r="Z17" s="164">
        <f t="shared" si="2"/>
        <v>172</v>
      </c>
      <c r="AA17" s="158" t="str">
        <f t="shared" si="3"/>
        <v>Menchov</v>
      </c>
    </row>
    <row r="18" spans="2:27">
      <c r="B18" s="216" t="s">
        <v>186</v>
      </c>
      <c r="C18" s="217" t="s">
        <v>143</v>
      </c>
      <c r="D18" s="159">
        <f t="shared" si="4"/>
        <v>0</v>
      </c>
      <c r="E18" s="159">
        <f t="shared" si="4"/>
        <v>20</v>
      </c>
      <c r="F18" s="159">
        <f t="shared" si="4"/>
        <v>0</v>
      </c>
      <c r="G18" s="159">
        <f t="shared" si="4"/>
        <v>0</v>
      </c>
      <c r="H18" s="159">
        <f t="shared" si="4"/>
        <v>0</v>
      </c>
      <c r="I18" s="159">
        <f t="shared" si="4"/>
        <v>0</v>
      </c>
      <c r="J18" s="159">
        <f t="shared" si="4"/>
        <v>0</v>
      </c>
      <c r="K18" s="159">
        <f t="shared" si="4"/>
        <v>0</v>
      </c>
      <c r="L18" s="159">
        <f t="shared" si="4"/>
        <v>0</v>
      </c>
      <c r="M18" s="159">
        <f t="shared" si="4"/>
        <v>0</v>
      </c>
      <c r="N18" s="159">
        <f t="shared" si="5"/>
        <v>9</v>
      </c>
      <c r="O18" s="159">
        <f t="shared" si="5"/>
        <v>0</v>
      </c>
      <c r="P18" s="159">
        <f t="shared" si="5"/>
        <v>0</v>
      </c>
      <c r="Q18" s="159">
        <f t="shared" si="5"/>
        <v>0</v>
      </c>
      <c r="R18" s="159">
        <f t="shared" si="5"/>
        <v>0</v>
      </c>
      <c r="S18" s="159">
        <f t="shared" si="5"/>
        <v>0</v>
      </c>
      <c r="T18" s="159">
        <f t="shared" si="5"/>
        <v>8</v>
      </c>
      <c r="U18" s="159">
        <f t="shared" si="5"/>
        <v>36</v>
      </c>
      <c r="V18" s="159">
        <f t="shared" si="5"/>
        <v>1</v>
      </c>
      <c r="W18" s="159">
        <f t="shared" si="5"/>
        <v>1</v>
      </c>
      <c r="X18" s="159">
        <f t="shared" si="5"/>
        <v>1</v>
      </c>
      <c r="Y18" s="159">
        <f t="shared" si="5"/>
        <v>13</v>
      </c>
      <c r="Z18" s="164">
        <f t="shared" si="2"/>
        <v>89</v>
      </c>
      <c r="AA18" s="158" t="str">
        <f t="shared" si="3"/>
        <v>Valverde</v>
      </c>
    </row>
    <row r="19" spans="2:27" s="218" customFormat="1">
      <c r="B19" s="216" t="s">
        <v>131</v>
      </c>
      <c r="C19" s="217" t="s">
        <v>132</v>
      </c>
      <c r="D19" s="159">
        <f t="shared" si="4"/>
        <v>0</v>
      </c>
      <c r="E19" s="159">
        <f t="shared" si="4"/>
        <v>0</v>
      </c>
      <c r="F19" s="159">
        <f t="shared" si="4"/>
        <v>0</v>
      </c>
      <c r="G19" s="159">
        <f t="shared" si="4"/>
        <v>0</v>
      </c>
      <c r="H19" s="159">
        <f t="shared" si="4"/>
        <v>0</v>
      </c>
      <c r="I19" s="159">
        <f t="shared" si="4"/>
        <v>0</v>
      </c>
      <c r="J19" s="159">
        <f t="shared" si="4"/>
        <v>0</v>
      </c>
      <c r="K19" s="159">
        <f t="shared" si="4"/>
        <v>0</v>
      </c>
      <c r="L19" s="159">
        <f t="shared" si="4"/>
        <v>0</v>
      </c>
      <c r="M19" s="159">
        <f t="shared" si="4"/>
        <v>0</v>
      </c>
      <c r="N19" s="159">
        <f t="shared" si="5"/>
        <v>0</v>
      </c>
      <c r="O19" s="159">
        <f t="shared" si="5"/>
        <v>0</v>
      </c>
      <c r="P19" s="159">
        <f t="shared" si="5"/>
        <v>0</v>
      </c>
      <c r="Q19" s="159">
        <f t="shared" si="5"/>
        <v>0</v>
      </c>
      <c r="R19" s="159">
        <f t="shared" si="5"/>
        <v>0</v>
      </c>
      <c r="S19" s="159">
        <f t="shared" si="5"/>
        <v>0</v>
      </c>
      <c r="T19" s="159">
        <f t="shared" si="5"/>
        <v>0</v>
      </c>
      <c r="U19" s="159">
        <f t="shared" si="5"/>
        <v>0</v>
      </c>
      <c r="V19" s="159">
        <f t="shared" si="5"/>
        <v>0</v>
      </c>
      <c r="W19" s="159">
        <f t="shared" si="5"/>
        <v>0</v>
      </c>
      <c r="X19" s="159">
        <f t="shared" si="5"/>
        <v>0</v>
      </c>
      <c r="Y19" s="159">
        <f t="shared" si="5"/>
        <v>0</v>
      </c>
      <c r="Z19" s="164">
        <f t="shared" si="2"/>
        <v>0</v>
      </c>
      <c r="AA19" s="158" t="str">
        <f t="shared" si="3"/>
        <v>Kittel</v>
      </c>
    </row>
    <row r="20" spans="2:27">
      <c r="B20" s="216" t="s">
        <v>215</v>
      </c>
      <c r="C20" s="217" t="s">
        <v>87</v>
      </c>
      <c r="D20" s="159">
        <f t="shared" si="4"/>
        <v>0</v>
      </c>
      <c r="E20" s="159">
        <f t="shared" si="4"/>
        <v>0</v>
      </c>
      <c r="F20" s="159">
        <f t="shared" si="4"/>
        <v>15</v>
      </c>
      <c r="G20" s="159">
        <f t="shared" si="4"/>
        <v>0</v>
      </c>
      <c r="H20" s="159">
        <f t="shared" si="4"/>
        <v>0</v>
      </c>
      <c r="I20" s="159">
        <f t="shared" si="4"/>
        <v>0</v>
      </c>
      <c r="J20" s="159">
        <f t="shared" si="4"/>
        <v>0</v>
      </c>
      <c r="K20" s="159">
        <f t="shared" si="4"/>
        <v>0</v>
      </c>
      <c r="L20" s="159">
        <f t="shared" si="4"/>
        <v>0</v>
      </c>
      <c r="M20" s="159">
        <f t="shared" si="4"/>
        <v>0</v>
      </c>
      <c r="N20" s="159">
        <f t="shared" si="5"/>
        <v>0</v>
      </c>
      <c r="O20" s="159">
        <f t="shared" si="5"/>
        <v>0</v>
      </c>
      <c r="P20" s="159">
        <f t="shared" si="5"/>
        <v>0</v>
      </c>
      <c r="Q20" s="159">
        <f t="shared" si="5"/>
        <v>0</v>
      </c>
      <c r="R20" s="159">
        <f t="shared" si="5"/>
        <v>0</v>
      </c>
      <c r="S20" s="159">
        <f t="shared" si="5"/>
        <v>0</v>
      </c>
      <c r="T20" s="159">
        <f t="shared" si="5"/>
        <v>0</v>
      </c>
      <c r="U20" s="159">
        <f t="shared" si="5"/>
        <v>0</v>
      </c>
      <c r="V20" s="159">
        <f t="shared" si="5"/>
        <v>0</v>
      </c>
      <c r="W20" s="159">
        <f t="shared" si="5"/>
        <v>0</v>
      </c>
      <c r="X20" s="159">
        <f t="shared" si="5"/>
        <v>0</v>
      </c>
      <c r="Y20" s="159">
        <f t="shared" si="5"/>
        <v>0</v>
      </c>
      <c r="Z20" s="164">
        <f t="shared" si="2"/>
        <v>15</v>
      </c>
      <c r="AA20" s="158" t="str">
        <f t="shared" si="3"/>
        <v>Rojas</v>
      </c>
    </row>
    <row r="21" spans="2:27" s="219" customFormat="1">
      <c r="C21" s="245"/>
      <c r="D21" s="221"/>
      <c r="E21" s="221"/>
      <c r="F21" s="221"/>
      <c r="G21" s="221"/>
      <c r="H21" s="221"/>
      <c r="I21" s="221"/>
      <c r="J21" s="221"/>
      <c r="K21" s="221"/>
      <c r="L21" s="221"/>
      <c r="M21" s="221"/>
      <c r="N21" s="221"/>
      <c r="O21" s="221"/>
      <c r="P21" s="221"/>
      <c r="Q21" s="221"/>
      <c r="R21" s="221"/>
      <c r="S21" s="221"/>
      <c r="T21" s="321">
        <f>T25</f>
        <v>0</v>
      </c>
      <c r="U21" s="221"/>
      <c r="V21" s="221"/>
      <c r="W21" s="221"/>
      <c r="X21" s="221">
        <f>X26</f>
        <v>29</v>
      </c>
      <c r="Y21" s="221"/>
      <c r="Z21" s="164">
        <f t="shared" si="2"/>
        <v>29</v>
      </c>
    </row>
    <row r="22" spans="2:27" s="162" customFormat="1">
      <c r="C22" s="248"/>
      <c r="D22" s="223">
        <f t="shared" ref="D22:Z22" si="6">SUM(D4:D21)</f>
        <v>175</v>
      </c>
      <c r="E22" s="223">
        <f t="shared" ref="E22" si="7">SUM(E4:E21)</f>
        <v>228</v>
      </c>
      <c r="F22" s="223">
        <f>SUM(F4:F21)</f>
        <v>129</v>
      </c>
      <c r="G22" s="223">
        <f t="shared" si="6"/>
        <v>184</v>
      </c>
      <c r="H22" s="223">
        <f t="shared" si="6"/>
        <v>84</v>
      </c>
      <c r="I22" s="223">
        <f t="shared" si="6"/>
        <v>83</v>
      </c>
      <c r="J22" s="223">
        <f t="shared" si="6"/>
        <v>97</v>
      </c>
      <c r="K22" s="223">
        <f t="shared" si="6"/>
        <v>161</v>
      </c>
      <c r="L22" s="223">
        <f t="shared" si="6"/>
        <v>158</v>
      </c>
      <c r="M22" s="223">
        <f t="shared" si="6"/>
        <v>145</v>
      </c>
      <c r="N22" s="223">
        <f t="shared" si="6"/>
        <v>156</v>
      </c>
      <c r="O22" s="223">
        <f t="shared" si="6"/>
        <v>146</v>
      </c>
      <c r="P22" s="223">
        <f t="shared" si="6"/>
        <v>96</v>
      </c>
      <c r="Q22" s="223">
        <f t="shared" si="6"/>
        <v>144</v>
      </c>
      <c r="R22" s="223">
        <f t="shared" si="6"/>
        <v>114</v>
      </c>
      <c r="S22" s="223">
        <f t="shared" si="6"/>
        <v>81</v>
      </c>
      <c r="T22" s="223">
        <f t="shared" si="6"/>
        <v>105</v>
      </c>
      <c r="U22" s="223">
        <f t="shared" si="6"/>
        <v>163</v>
      </c>
      <c r="V22" s="223">
        <f t="shared" si="6"/>
        <v>122</v>
      </c>
      <c r="W22" s="223">
        <f t="shared" si="6"/>
        <v>75</v>
      </c>
      <c r="X22" s="223">
        <f t="shared" si="6"/>
        <v>151</v>
      </c>
      <c r="Y22" s="223">
        <f t="shared" si="6"/>
        <v>254</v>
      </c>
      <c r="Z22" s="224">
        <f t="shared" si="6"/>
        <v>3051</v>
      </c>
    </row>
    <row r="23" spans="2:27" s="225" customFormat="1">
      <c r="C23" s="239"/>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121</v>
      </c>
      <c r="C24" s="228" t="s">
        <v>70</v>
      </c>
      <c r="D24" s="295">
        <f t="shared" ref="D24:Y26" si="8">INDEX(scorematrix,MATCH($C24,renners,0),MATCH(D$3,etappes,0))</f>
        <v>0</v>
      </c>
      <c r="E24" s="295">
        <f t="shared" si="8"/>
        <v>19</v>
      </c>
      <c r="F24" s="295">
        <f t="shared" si="8"/>
        <v>0</v>
      </c>
      <c r="G24" s="295">
        <f t="shared" si="8"/>
        <v>8</v>
      </c>
      <c r="H24" s="295">
        <f t="shared" si="8"/>
        <v>0</v>
      </c>
      <c r="I24" s="295">
        <f t="shared" si="8"/>
        <v>0</v>
      </c>
      <c r="J24" s="295">
        <f t="shared" si="8"/>
        <v>0</v>
      </c>
      <c r="K24" s="295">
        <f t="shared" si="8"/>
        <v>0</v>
      </c>
      <c r="L24" s="297">
        <f t="shared" si="8"/>
        <v>0</v>
      </c>
      <c r="M24" s="297">
        <f t="shared" si="8"/>
        <v>0</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0</v>
      </c>
      <c r="X24" s="295">
        <f t="shared" si="8"/>
        <v>0</v>
      </c>
      <c r="Y24" s="295">
        <f t="shared" si="8"/>
        <v>0</v>
      </c>
      <c r="Z24" s="229">
        <f>SUM(D24:Y24)</f>
        <v>27</v>
      </c>
    </row>
    <row r="25" spans="2:27" s="230" customFormat="1">
      <c r="B25" s="216" t="s">
        <v>225</v>
      </c>
      <c r="C25" s="228" t="s">
        <v>226</v>
      </c>
      <c r="D25" s="295">
        <f t="shared" si="8"/>
        <v>0</v>
      </c>
      <c r="E25" s="295">
        <f t="shared" si="8"/>
        <v>0</v>
      </c>
      <c r="F25" s="295">
        <f t="shared" si="8"/>
        <v>0</v>
      </c>
      <c r="G25" s="295">
        <f t="shared" si="8"/>
        <v>0</v>
      </c>
      <c r="H25" s="295">
        <f t="shared" si="8"/>
        <v>0</v>
      </c>
      <c r="I25" s="295">
        <f t="shared" si="8"/>
        <v>0</v>
      </c>
      <c r="J25" s="295">
        <f t="shared" si="8"/>
        <v>0</v>
      </c>
      <c r="K25" s="295">
        <f t="shared" si="8"/>
        <v>0</v>
      </c>
      <c r="L25" s="297">
        <f t="shared" si="8"/>
        <v>0</v>
      </c>
      <c r="M25" s="297">
        <f t="shared" si="8"/>
        <v>0</v>
      </c>
      <c r="N25" s="295">
        <f t="shared" si="8"/>
        <v>0</v>
      </c>
      <c r="O25" s="295">
        <f t="shared" si="8"/>
        <v>0</v>
      </c>
      <c r="P25" s="295">
        <f t="shared" si="8"/>
        <v>0</v>
      </c>
      <c r="Q25" s="295">
        <f t="shared" si="8"/>
        <v>0</v>
      </c>
      <c r="R25" s="295">
        <f t="shared" si="8"/>
        <v>0</v>
      </c>
      <c r="S25" s="295">
        <f t="shared" si="8"/>
        <v>0</v>
      </c>
      <c r="T25" s="296">
        <f t="shared" si="8"/>
        <v>0</v>
      </c>
      <c r="U25" s="295">
        <f t="shared" si="8"/>
        <v>0</v>
      </c>
      <c r="V25" s="295">
        <f t="shared" si="8"/>
        <v>0</v>
      </c>
      <c r="W25" s="295">
        <f t="shared" si="8"/>
        <v>0</v>
      </c>
      <c r="X25" s="295">
        <f t="shared" si="8"/>
        <v>0</v>
      </c>
      <c r="Y25" s="295">
        <f t="shared" si="8"/>
        <v>0</v>
      </c>
      <c r="Z25" s="229">
        <f>SUM(D25:Y25)</f>
        <v>0</v>
      </c>
    </row>
    <row r="26" spans="2:27" s="230" customFormat="1">
      <c r="B26" s="216" t="s">
        <v>135</v>
      </c>
      <c r="C26" s="228" t="s">
        <v>100</v>
      </c>
      <c r="D26" s="295">
        <f t="shared" si="8"/>
        <v>0</v>
      </c>
      <c r="E26" s="295">
        <f t="shared" si="8"/>
        <v>0</v>
      </c>
      <c r="F26" s="295">
        <f t="shared" si="8"/>
        <v>28</v>
      </c>
      <c r="G26" s="295">
        <f t="shared" si="8"/>
        <v>1</v>
      </c>
      <c r="H26" s="295">
        <f t="shared" si="8"/>
        <v>28</v>
      </c>
      <c r="I26" s="295">
        <f t="shared" si="8"/>
        <v>34</v>
      </c>
      <c r="J26" s="295">
        <f t="shared" si="8"/>
        <v>30</v>
      </c>
      <c r="K26" s="295">
        <f t="shared" si="8"/>
        <v>4</v>
      </c>
      <c r="L26" s="295">
        <f t="shared" si="8"/>
        <v>4</v>
      </c>
      <c r="M26" s="295">
        <f t="shared" si="8"/>
        <v>4</v>
      </c>
      <c r="N26" s="295">
        <f t="shared" si="8"/>
        <v>4</v>
      </c>
      <c r="O26" s="295">
        <f t="shared" si="8"/>
        <v>4</v>
      </c>
      <c r="P26" s="295">
        <f t="shared" si="8"/>
        <v>23</v>
      </c>
      <c r="Q26" s="295">
        <f t="shared" si="8"/>
        <v>3</v>
      </c>
      <c r="R26" s="295">
        <f t="shared" si="8"/>
        <v>3</v>
      </c>
      <c r="S26" s="295">
        <f t="shared" si="8"/>
        <v>3</v>
      </c>
      <c r="T26" s="295">
        <f t="shared" si="8"/>
        <v>3</v>
      </c>
      <c r="U26" s="295">
        <f t="shared" si="8"/>
        <v>3</v>
      </c>
      <c r="V26" s="295">
        <f t="shared" si="8"/>
        <v>33</v>
      </c>
      <c r="W26" s="295">
        <f t="shared" si="8"/>
        <v>3</v>
      </c>
      <c r="X26" s="296">
        <f t="shared" si="8"/>
        <v>29</v>
      </c>
      <c r="Y26" s="295">
        <f t="shared" si="8"/>
        <v>5</v>
      </c>
      <c r="Z26" s="229">
        <f>SUM(D26:Y26)</f>
        <v>249</v>
      </c>
    </row>
    <row r="27" spans="2:27" s="225" customFormat="1">
      <c r="C27" s="194"/>
      <c r="D27" s="194"/>
      <c r="E27" s="194"/>
      <c r="F27" s="194"/>
      <c r="G27" s="226"/>
      <c r="H27" s="194"/>
      <c r="I27" s="194"/>
      <c r="J27" s="194"/>
      <c r="K27" s="194"/>
      <c r="L27" s="194"/>
      <c r="M27" s="194"/>
      <c r="N27" s="194"/>
      <c r="O27" s="194"/>
      <c r="Z27" s="231"/>
    </row>
    <row r="28" spans="2:27" s="225" customFormat="1">
      <c r="C28" s="232"/>
      <c r="D28" s="194"/>
      <c r="E28" s="194"/>
      <c r="F28" s="194"/>
      <c r="G28" s="226"/>
      <c r="H28" s="194"/>
      <c r="I28" s="194"/>
      <c r="J28" s="194"/>
      <c r="K28" s="194"/>
      <c r="L28" s="194"/>
      <c r="M28" s="194"/>
      <c r="N28" s="194"/>
      <c r="O28" s="194"/>
      <c r="Z28" s="231"/>
    </row>
    <row r="29" spans="2:27" s="225" customFormat="1">
      <c r="C29" s="222"/>
      <c r="D29" s="194"/>
      <c r="E29" s="194"/>
      <c r="F29" s="194"/>
      <c r="G29" s="226"/>
      <c r="H29" s="194"/>
      <c r="I29" s="194"/>
      <c r="J29" s="194"/>
      <c r="K29" s="194"/>
      <c r="L29" s="194"/>
      <c r="M29" s="194"/>
      <c r="N29" s="194"/>
      <c r="O29" s="194"/>
      <c r="Z29" s="231"/>
    </row>
    <row r="30" spans="2:27" s="225" customFormat="1">
      <c r="C30" s="194"/>
      <c r="D30" s="194"/>
      <c r="E30" s="194"/>
      <c r="F30" s="194"/>
      <c r="G30" s="226"/>
      <c r="H30" s="194"/>
      <c r="I30" s="194"/>
      <c r="J30" s="194"/>
      <c r="K30" s="194"/>
      <c r="L30" s="194"/>
      <c r="M30" s="194"/>
      <c r="N30" s="194"/>
      <c r="O30" s="194"/>
      <c r="Z30" s="231"/>
    </row>
    <row r="31" spans="2:27" s="225" customFormat="1">
      <c r="C31" s="194"/>
      <c r="D31" s="194"/>
      <c r="E31" s="194"/>
      <c r="F31" s="194"/>
      <c r="G31" s="226"/>
      <c r="H31" s="194"/>
      <c r="I31" s="194"/>
      <c r="J31" s="194"/>
      <c r="K31" s="194"/>
      <c r="L31" s="194"/>
      <c r="M31" s="194"/>
      <c r="N31" s="194"/>
      <c r="O31" s="194"/>
      <c r="Z31" s="231"/>
    </row>
    <row r="32" spans="2:27" s="234" customFormat="1">
      <c r="C32" s="193"/>
      <c r="D32" s="235"/>
      <c r="E32" s="235"/>
      <c r="F32" s="235"/>
      <c r="G32" s="236"/>
      <c r="H32" s="190"/>
      <c r="I32" s="190"/>
      <c r="J32" s="190"/>
      <c r="K32" s="190"/>
      <c r="L32" s="190"/>
      <c r="M32" s="190"/>
      <c r="N32" s="190"/>
      <c r="O32" s="190"/>
      <c r="P32" s="237"/>
      <c r="Z32" s="180"/>
    </row>
    <row r="33" spans="3:26" s="234" customFormat="1">
      <c r="C33" s="193"/>
      <c r="D33" s="235"/>
      <c r="E33" s="235"/>
      <c r="F33" s="235"/>
      <c r="G33" s="236"/>
      <c r="H33" s="190"/>
      <c r="I33" s="190"/>
      <c r="J33" s="190"/>
      <c r="K33" s="190"/>
      <c r="L33" s="190"/>
      <c r="M33" s="190"/>
      <c r="N33" s="190"/>
      <c r="O33" s="190"/>
      <c r="P33" s="237"/>
      <c r="Z33" s="180"/>
    </row>
    <row r="34" spans="3:26" s="234" customFormat="1">
      <c r="C34" s="193"/>
      <c r="D34" s="235"/>
      <c r="E34" s="235"/>
      <c r="F34" s="235"/>
      <c r="G34" s="236"/>
      <c r="H34" s="190"/>
      <c r="I34" s="190"/>
      <c r="J34" s="190"/>
      <c r="K34" s="190"/>
      <c r="L34" s="190"/>
      <c r="M34" s="190"/>
      <c r="N34" s="190"/>
      <c r="O34" s="190"/>
      <c r="P34" s="237"/>
      <c r="Z34" s="180"/>
    </row>
    <row r="35" spans="3:26" s="234" customFormat="1">
      <c r="C35" s="193"/>
      <c r="D35" s="235"/>
      <c r="E35" s="235"/>
      <c r="F35" s="235"/>
      <c r="G35" s="236"/>
      <c r="H35" s="190"/>
      <c r="I35" s="190"/>
      <c r="J35" s="190"/>
      <c r="K35" s="190"/>
      <c r="L35" s="190"/>
      <c r="M35" s="190"/>
      <c r="N35" s="190"/>
      <c r="O35" s="190"/>
      <c r="P35" s="237"/>
      <c r="Z35" s="180"/>
    </row>
    <row r="36" spans="3:26" s="234" customFormat="1">
      <c r="C36" s="193"/>
      <c r="D36" s="235"/>
      <c r="E36" s="235"/>
      <c r="F36" s="235"/>
      <c r="G36" s="236"/>
      <c r="H36" s="190"/>
      <c r="I36" s="190"/>
      <c r="J36" s="190"/>
      <c r="K36" s="190"/>
      <c r="L36" s="190"/>
      <c r="M36" s="190"/>
      <c r="N36" s="190"/>
      <c r="O36" s="190"/>
      <c r="P36" s="237"/>
      <c r="Z36" s="180"/>
    </row>
    <row r="37" spans="3:26" s="234" customFormat="1">
      <c r="C37" s="193"/>
      <c r="D37" s="235"/>
      <c r="E37" s="235"/>
      <c r="F37" s="235"/>
      <c r="G37" s="236"/>
      <c r="H37" s="190"/>
      <c r="I37" s="190"/>
      <c r="J37" s="190"/>
      <c r="K37" s="190"/>
      <c r="L37" s="190"/>
      <c r="M37" s="190"/>
      <c r="N37" s="190"/>
      <c r="O37" s="190"/>
      <c r="P37" s="237"/>
      <c r="Z37" s="180"/>
    </row>
    <row r="38" spans="3:26" s="234" customFormat="1">
      <c r="C38" s="193"/>
      <c r="D38" s="235"/>
      <c r="E38" s="235"/>
      <c r="F38" s="235"/>
      <c r="G38" s="236"/>
      <c r="H38" s="190"/>
      <c r="I38" s="190"/>
      <c r="J38" s="190"/>
      <c r="K38" s="190"/>
      <c r="L38" s="190"/>
      <c r="M38" s="190"/>
      <c r="N38" s="190"/>
      <c r="O38" s="190"/>
      <c r="P38" s="237"/>
      <c r="Z38" s="180"/>
    </row>
    <row r="39" spans="3:26" s="234" customFormat="1">
      <c r="C39" s="193"/>
      <c r="D39" s="235"/>
      <c r="E39" s="235"/>
      <c r="F39" s="235"/>
      <c r="G39" s="236"/>
      <c r="H39" s="190"/>
      <c r="I39" s="190"/>
      <c r="J39" s="190"/>
      <c r="K39" s="190"/>
      <c r="L39" s="190"/>
      <c r="M39" s="190"/>
      <c r="N39" s="190"/>
      <c r="O39" s="190"/>
      <c r="P39" s="237"/>
      <c r="Z39" s="180"/>
    </row>
    <row r="40" spans="3:26" s="234" customFormat="1">
      <c r="C40" s="193"/>
      <c r="D40" s="235"/>
      <c r="E40" s="235"/>
      <c r="F40" s="235"/>
      <c r="G40" s="236"/>
      <c r="H40" s="190"/>
      <c r="I40" s="190"/>
      <c r="J40" s="190"/>
      <c r="K40" s="190"/>
      <c r="L40" s="190"/>
      <c r="M40" s="190"/>
      <c r="N40" s="190"/>
      <c r="O40" s="190"/>
      <c r="P40" s="237"/>
      <c r="Z40" s="180"/>
    </row>
    <row r="41" spans="3:26" s="234" customFormat="1">
      <c r="C41" s="193"/>
      <c r="D41" s="235"/>
      <c r="E41" s="235"/>
      <c r="F41" s="235"/>
      <c r="G41" s="236"/>
      <c r="H41" s="190"/>
      <c r="I41" s="190"/>
      <c r="J41" s="190"/>
      <c r="K41" s="190"/>
      <c r="L41" s="190"/>
      <c r="M41" s="190"/>
      <c r="N41" s="190"/>
      <c r="O41" s="190"/>
      <c r="P41" s="237"/>
      <c r="Z41" s="180"/>
    </row>
    <row r="42" spans="3:26" s="234" customFormat="1">
      <c r="C42" s="193"/>
      <c r="D42" s="235"/>
      <c r="E42" s="235"/>
      <c r="F42" s="235"/>
      <c r="G42" s="236"/>
      <c r="H42" s="190"/>
      <c r="I42" s="190"/>
      <c r="J42" s="190"/>
      <c r="K42" s="190"/>
      <c r="L42" s="190"/>
      <c r="M42" s="190"/>
      <c r="N42" s="190"/>
      <c r="O42" s="190"/>
      <c r="P42" s="237"/>
      <c r="Z42" s="180"/>
    </row>
    <row r="43" spans="3:26" s="234" customFormat="1">
      <c r="C43" s="193"/>
      <c r="D43" s="235"/>
      <c r="E43" s="235"/>
      <c r="F43" s="235"/>
      <c r="G43" s="236"/>
      <c r="H43" s="190"/>
      <c r="I43" s="190"/>
      <c r="J43" s="190"/>
      <c r="K43" s="190"/>
      <c r="L43" s="190"/>
      <c r="M43" s="190"/>
      <c r="N43" s="190"/>
      <c r="O43" s="190"/>
      <c r="P43" s="237"/>
      <c r="Z43" s="180"/>
    </row>
    <row r="44" spans="3:26" s="234" customFormat="1">
      <c r="C44" s="193"/>
      <c r="D44" s="235"/>
      <c r="E44" s="235"/>
      <c r="F44" s="235"/>
      <c r="G44" s="236"/>
      <c r="H44" s="190"/>
      <c r="I44" s="190"/>
      <c r="J44" s="190"/>
      <c r="K44" s="190"/>
      <c r="L44" s="190"/>
      <c r="M44" s="190"/>
      <c r="N44" s="190"/>
      <c r="O44" s="190"/>
      <c r="P44" s="237"/>
      <c r="Z44" s="180"/>
    </row>
    <row r="45" spans="3:26" s="234" customFormat="1">
      <c r="C45" s="193"/>
      <c r="D45" s="235"/>
      <c r="E45" s="235"/>
      <c r="F45" s="235"/>
      <c r="G45" s="236"/>
      <c r="H45" s="190"/>
      <c r="I45" s="190"/>
      <c r="J45" s="190"/>
      <c r="K45" s="190"/>
      <c r="L45" s="190"/>
      <c r="M45" s="190"/>
      <c r="N45" s="190"/>
      <c r="O45" s="190"/>
      <c r="P45" s="237"/>
      <c r="Z45" s="180"/>
    </row>
    <row r="46" spans="3:26" s="234" customFormat="1">
      <c r="C46" s="193"/>
      <c r="D46" s="235"/>
      <c r="E46" s="235"/>
      <c r="F46" s="235"/>
      <c r="G46" s="236"/>
      <c r="H46" s="190"/>
      <c r="I46" s="190"/>
      <c r="J46" s="190"/>
      <c r="K46" s="190"/>
      <c r="L46" s="190"/>
      <c r="M46" s="190"/>
      <c r="N46" s="190"/>
      <c r="O46" s="190"/>
      <c r="P46" s="237"/>
      <c r="Z46" s="180"/>
    </row>
    <row r="47" spans="3:26" s="234" customFormat="1">
      <c r="C47" s="193"/>
      <c r="D47" s="235"/>
      <c r="E47" s="235"/>
      <c r="F47" s="235"/>
      <c r="G47" s="236"/>
      <c r="H47" s="190"/>
      <c r="I47" s="190"/>
      <c r="J47" s="190"/>
      <c r="K47" s="190"/>
      <c r="L47" s="190"/>
      <c r="M47" s="190"/>
      <c r="N47" s="190"/>
      <c r="O47" s="190"/>
      <c r="P47" s="237"/>
      <c r="Z47" s="180"/>
    </row>
    <row r="48" spans="3:26" s="234" customFormat="1">
      <c r="C48" s="193"/>
      <c r="D48" s="235"/>
      <c r="E48" s="235"/>
      <c r="F48" s="235"/>
      <c r="G48" s="236"/>
      <c r="H48" s="190"/>
      <c r="I48" s="190"/>
      <c r="J48" s="190"/>
      <c r="K48" s="190"/>
      <c r="L48" s="190"/>
      <c r="M48" s="190"/>
      <c r="N48" s="190"/>
      <c r="O48" s="190"/>
      <c r="P48" s="237"/>
      <c r="Z48" s="180"/>
    </row>
    <row r="49" spans="3:26" s="234" customFormat="1">
      <c r="C49" s="193"/>
      <c r="D49" s="235"/>
      <c r="E49" s="235"/>
      <c r="F49" s="235"/>
      <c r="G49" s="236"/>
      <c r="H49" s="190"/>
      <c r="I49" s="190"/>
      <c r="J49" s="190"/>
      <c r="K49" s="190"/>
      <c r="L49" s="190"/>
      <c r="M49" s="190"/>
      <c r="N49" s="190"/>
      <c r="O49" s="190"/>
      <c r="P49" s="237"/>
      <c r="Z49" s="180"/>
    </row>
    <row r="50" spans="3:26" s="234" customFormat="1">
      <c r="C50" s="193"/>
      <c r="D50" s="235"/>
      <c r="E50" s="235"/>
      <c r="F50" s="235"/>
      <c r="G50" s="236"/>
      <c r="H50" s="190"/>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sheetData>
  <phoneticPr fontId="0" type="noConversion"/>
  <pageMargins left="0.75" right="0.75" top="1" bottom="1" header="0.5" footer="0.5"/>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tabColor indexed="12"/>
  </sheetPr>
  <dimension ref="B1:AA71"/>
  <sheetViews>
    <sheetView showZeros="0" workbookViewId="0">
      <selection activeCell="N28" sqref="N28"/>
    </sheetView>
  </sheetViews>
  <sheetFormatPr defaultRowHeight="12.75"/>
  <cols>
    <col min="1" max="1" width="2.7109375" style="158" customWidth="1"/>
    <col min="2" max="2" width="8.85546875" style="158" customWidth="1"/>
    <col min="3" max="3" width="13" style="158"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B1" s="239"/>
      <c r="C1" s="240" t="s">
        <v>248</v>
      </c>
    </row>
    <row r="2" spans="2:27">
      <c r="B2" s="239"/>
      <c r="C2" s="241"/>
      <c r="G2" s="179"/>
    </row>
    <row r="3" spans="2:27" s="177" customFormat="1" ht="13.5" thickBot="1">
      <c r="B3" s="242"/>
      <c r="C3" s="243" t="s">
        <v>92</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50" t="s">
        <v>71</v>
      </c>
      <c r="C4" s="284"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0" si="2">SUM(D4:Y4)</f>
        <v>370</v>
      </c>
      <c r="AA4" s="158" t="str">
        <f t="shared" ref="AA4:AA18" si="3">C4</f>
        <v>Evans</v>
      </c>
    </row>
    <row r="5" spans="2:27">
      <c r="B5" s="250" t="s">
        <v>71</v>
      </c>
      <c r="C5" s="284" t="s">
        <v>159</v>
      </c>
      <c r="D5" s="159">
        <f t="shared" si="0"/>
        <v>0</v>
      </c>
      <c r="E5" s="159">
        <f t="shared" si="0"/>
        <v>0</v>
      </c>
      <c r="F5" s="159">
        <f t="shared" si="0"/>
        <v>0</v>
      </c>
      <c r="G5" s="159">
        <f t="shared" si="0"/>
        <v>6</v>
      </c>
      <c r="H5" s="159">
        <f t="shared" si="0"/>
        <v>0</v>
      </c>
      <c r="I5" s="159">
        <f t="shared" si="0"/>
        <v>0</v>
      </c>
      <c r="J5" s="159">
        <f t="shared" si="0"/>
        <v>0</v>
      </c>
      <c r="K5" s="159">
        <f t="shared" si="0"/>
        <v>14</v>
      </c>
      <c r="L5" s="159">
        <f t="shared" si="0"/>
        <v>16</v>
      </c>
      <c r="M5" s="159">
        <f t="shared" si="0"/>
        <v>0</v>
      </c>
      <c r="N5" s="159">
        <f t="shared" si="1"/>
        <v>0</v>
      </c>
      <c r="O5" s="159">
        <f t="shared" si="1"/>
        <v>16</v>
      </c>
      <c r="P5" s="159">
        <f t="shared" si="1"/>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64">
        <f t="shared" si="2"/>
        <v>52</v>
      </c>
      <c r="AA5" s="158" t="str">
        <f t="shared" si="3"/>
        <v>Schleck</v>
      </c>
    </row>
    <row r="6" spans="2:27">
      <c r="B6" s="250" t="s">
        <v>71</v>
      </c>
      <c r="C6" s="284" t="s">
        <v>207</v>
      </c>
      <c r="D6" s="159">
        <f t="shared" si="0"/>
        <v>0</v>
      </c>
      <c r="E6" s="159">
        <f t="shared" si="0"/>
        <v>7</v>
      </c>
      <c r="F6" s="159">
        <f t="shared" si="0"/>
        <v>0</v>
      </c>
      <c r="G6" s="159">
        <f t="shared" si="0"/>
        <v>0</v>
      </c>
      <c r="H6" s="159">
        <f t="shared" si="0"/>
        <v>0</v>
      </c>
      <c r="I6" s="159">
        <f t="shared" si="0"/>
        <v>0</v>
      </c>
      <c r="J6" s="159">
        <f t="shared" si="0"/>
        <v>0</v>
      </c>
      <c r="K6" s="159">
        <f t="shared" si="0"/>
        <v>19</v>
      </c>
      <c r="L6" s="159">
        <f t="shared" si="0"/>
        <v>10</v>
      </c>
      <c r="M6" s="159">
        <f t="shared" si="0"/>
        <v>0</v>
      </c>
      <c r="N6" s="159">
        <f t="shared" si="1"/>
        <v>18</v>
      </c>
      <c r="O6" s="159">
        <f t="shared" si="1"/>
        <v>41</v>
      </c>
      <c r="P6" s="159">
        <f t="shared" si="1"/>
        <v>6</v>
      </c>
      <c r="Q6" s="159">
        <f t="shared" si="1"/>
        <v>6</v>
      </c>
      <c r="R6" s="159">
        <f t="shared" si="1"/>
        <v>6</v>
      </c>
      <c r="S6" s="159">
        <f t="shared" si="1"/>
        <v>6</v>
      </c>
      <c r="T6" s="159">
        <f t="shared" si="1"/>
        <v>4</v>
      </c>
      <c r="U6" s="159">
        <f t="shared" si="1"/>
        <v>27</v>
      </c>
      <c r="V6" s="159">
        <f t="shared" si="1"/>
        <v>5</v>
      </c>
      <c r="W6" s="159">
        <f t="shared" si="1"/>
        <v>5</v>
      </c>
      <c r="X6" s="159">
        <f t="shared" si="1"/>
        <v>5</v>
      </c>
      <c r="Y6" s="159">
        <f t="shared" si="1"/>
        <v>39</v>
      </c>
      <c r="Z6" s="164">
        <f t="shared" si="2"/>
        <v>204</v>
      </c>
      <c r="AA6" s="158" t="str">
        <f t="shared" si="3"/>
        <v>Rolland</v>
      </c>
    </row>
    <row r="7" spans="2:27">
      <c r="B7" s="250" t="s">
        <v>71</v>
      </c>
      <c r="C7" s="284" t="s">
        <v>68</v>
      </c>
      <c r="D7" s="159">
        <f t="shared" si="0"/>
        <v>0</v>
      </c>
      <c r="E7" s="159">
        <f t="shared" si="0"/>
        <v>0</v>
      </c>
      <c r="F7" s="159">
        <f t="shared" si="0"/>
        <v>0</v>
      </c>
      <c r="G7" s="159">
        <f t="shared" si="0"/>
        <v>18</v>
      </c>
      <c r="H7" s="159">
        <f t="shared" si="0"/>
        <v>0</v>
      </c>
      <c r="I7" s="159">
        <f t="shared" si="0"/>
        <v>9</v>
      </c>
      <c r="J7" s="159">
        <f t="shared" si="0"/>
        <v>7</v>
      </c>
      <c r="K7" s="159">
        <f t="shared" si="0"/>
        <v>10</v>
      </c>
      <c r="L7" s="159">
        <f t="shared" si="0"/>
        <v>0</v>
      </c>
      <c r="M7" s="159">
        <f t="shared" si="0"/>
        <v>0</v>
      </c>
      <c r="N7" s="159">
        <f t="shared" si="1"/>
        <v>0</v>
      </c>
      <c r="O7" s="159">
        <f t="shared" si="1"/>
        <v>0</v>
      </c>
      <c r="P7" s="159">
        <f t="shared" si="1"/>
        <v>0</v>
      </c>
      <c r="Q7" s="159">
        <f t="shared" si="1"/>
        <v>0</v>
      </c>
      <c r="R7" s="159">
        <f t="shared" si="1"/>
        <v>0</v>
      </c>
      <c r="S7" s="159">
        <f t="shared" si="1"/>
        <v>0</v>
      </c>
      <c r="T7" s="159">
        <f t="shared" si="1"/>
        <v>0</v>
      </c>
      <c r="U7" s="159">
        <f t="shared" si="1"/>
        <v>0</v>
      </c>
      <c r="V7" s="159">
        <f t="shared" si="1"/>
        <v>0</v>
      </c>
      <c r="W7" s="159">
        <f t="shared" si="1"/>
        <v>0</v>
      </c>
      <c r="X7" s="159">
        <f t="shared" si="1"/>
        <v>0</v>
      </c>
      <c r="Y7" s="159">
        <f t="shared" si="1"/>
        <v>0</v>
      </c>
      <c r="Z7" s="164">
        <f t="shared" si="2"/>
        <v>44</v>
      </c>
      <c r="AA7" s="158" t="str">
        <f t="shared" si="3"/>
        <v>Sanchez</v>
      </c>
    </row>
    <row r="8" spans="2:27">
      <c r="B8" s="250" t="s">
        <v>71</v>
      </c>
      <c r="C8" s="284" t="s">
        <v>130</v>
      </c>
      <c r="D8" s="159">
        <f t="shared" si="0"/>
        <v>0</v>
      </c>
      <c r="E8" s="159">
        <f t="shared" si="0"/>
        <v>43</v>
      </c>
      <c r="F8" s="159">
        <f t="shared" si="0"/>
        <v>27</v>
      </c>
      <c r="G8" s="159">
        <f t="shared" si="0"/>
        <v>43</v>
      </c>
      <c r="H8" s="159">
        <f t="shared" si="0"/>
        <v>30</v>
      </c>
      <c r="I8" s="159">
        <f t="shared" si="0"/>
        <v>8</v>
      </c>
      <c r="J8" s="159">
        <f t="shared" si="0"/>
        <v>46</v>
      </c>
      <c r="K8" s="159">
        <f t="shared" si="0"/>
        <v>5</v>
      </c>
      <c r="L8" s="159">
        <f t="shared" si="0"/>
        <v>5</v>
      </c>
      <c r="M8" s="159">
        <f t="shared" si="0"/>
        <v>5</v>
      </c>
      <c r="N8" s="159">
        <f t="shared" si="1"/>
        <v>5</v>
      </c>
      <c r="O8" s="159">
        <f t="shared" si="1"/>
        <v>5</v>
      </c>
      <c r="P8" s="159">
        <f t="shared" si="1"/>
        <v>25</v>
      </c>
      <c r="Q8" s="159">
        <f t="shared" si="1"/>
        <v>35</v>
      </c>
      <c r="R8" s="159">
        <f t="shared" si="1"/>
        <v>35</v>
      </c>
      <c r="S8" s="159">
        <f t="shared" si="1"/>
        <v>22</v>
      </c>
      <c r="T8" s="159">
        <f t="shared" si="1"/>
        <v>5</v>
      </c>
      <c r="U8" s="159">
        <f t="shared" si="1"/>
        <v>5</v>
      </c>
      <c r="V8" s="159">
        <f t="shared" si="1"/>
        <v>31</v>
      </c>
      <c r="W8" s="159">
        <f t="shared" si="1"/>
        <v>5</v>
      </c>
      <c r="X8" s="159">
        <f t="shared" si="1"/>
        <v>35</v>
      </c>
      <c r="Y8" s="159">
        <f t="shared" si="1"/>
        <v>10</v>
      </c>
      <c r="Z8" s="164">
        <f t="shared" si="2"/>
        <v>430</v>
      </c>
      <c r="AA8" s="158" t="str">
        <f t="shared" si="3"/>
        <v>Sagan</v>
      </c>
    </row>
    <row r="9" spans="2:27">
      <c r="B9" s="250" t="s">
        <v>71</v>
      </c>
      <c r="C9" s="284" t="s">
        <v>101</v>
      </c>
      <c r="D9" s="159">
        <f t="shared" si="0"/>
        <v>0</v>
      </c>
      <c r="E9" s="159">
        <f t="shared" si="0"/>
        <v>0</v>
      </c>
      <c r="F9" s="159">
        <f t="shared" si="0"/>
        <v>0</v>
      </c>
      <c r="G9" s="159">
        <f t="shared" si="0"/>
        <v>0</v>
      </c>
      <c r="H9" s="159">
        <f t="shared" si="0"/>
        <v>0</v>
      </c>
      <c r="I9" s="159">
        <f t="shared" si="0"/>
        <v>0</v>
      </c>
      <c r="J9" s="159">
        <f t="shared" si="0"/>
        <v>0</v>
      </c>
      <c r="K9" s="159">
        <f t="shared" si="0"/>
        <v>0</v>
      </c>
      <c r="L9" s="159">
        <f t="shared" si="0"/>
        <v>0</v>
      </c>
      <c r="M9" s="159">
        <f t="shared" si="0"/>
        <v>0</v>
      </c>
      <c r="N9" s="159">
        <f t="shared" si="1"/>
        <v>0</v>
      </c>
      <c r="O9" s="159">
        <f t="shared" si="1"/>
        <v>0</v>
      </c>
      <c r="P9" s="159">
        <f t="shared" si="1"/>
        <v>0</v>
      </c>
      <c r="Q9" s="159">
        <f t="shared" si="1"/>
        <v>0</v>
      </c>
      <c r="R9" s="159">
        <f t="shared" si="1"/>
        <v>0</v>
      </c>
      <c r="S9" s="159">
        <f t="shared" si="1"/>
        <v>0</v>
      </c>
      <c r="T9" s="159">
        <f t="shared" si="1"/>
        <v>0</v>
      </c>
      <c r="U9" s="159">
        <f t="shared" si="1"/>
        <v>0</v>
      </c>
      <c r="V9" s="159">
        <f t="shared" si="1"/>
        <v>0</v>
      </c>
      <c r="W9" s="159">
        <f t="shared" si="1"/>
        <v>0</v>
      </c>
      <c r="X9" s="159">
        <f t="shared" si="1"/>
        <v>0</v>
      </c>
      <c r="Y9" s="159">
        <f t="shared" si="1"/>
        <v>0</v>
      </c>
      <c r="Z9" s="164">
        <f t="shared" si="2"/>
        <v>0</v>
      </c>
      <c r="AA9" s="158" t="str">
        <f t="shared" si="3"/>
        <v>Danielson</v>
      </c>
    </row>
    <row r="10" spans="2:27">
      <c r="B10" s="250" t="s">
        <v>71</v>
      </c>
      <c r="C10" s="284" t="s">
        <v>93</v>
      </c>
      <c r="D10" s="159">
        <f t="shared" si="0"/>
        <v>11</v>
      </c>
      <c r="E10" s="159">
        <f t="shared" si="0"/>
        <v>18</v>
      </c>
      <c r="F10" s="159">
        <f t="shared" si="0"/>
        <v>1</v>
      </c>
      <c r="G10" s="159">
        <f t="shared" si="0"/>
        <v>17</v>
      </c>
      <c r="H10" s="159">
        <f t="shared" si="0"/>
        <v>2</v>
      </c>
      <c r="I10" s="159">
        <f t="shared" si="0"/>
        <v>2</v>
      </c>
      <c r="J10" s="159">
        <f t="shared" si="0"/>
        <v>0</v>
      </c>
      <c r="K10" s="159">
        <f t="shared" si="0"/>
        <v>0</v>
      </c>
      <c r="L10" s="159">
        <f t="shared" si="0"/>
        <v>0</v>
      </c>
      <c r="M10" s="159">
        <f t="shared" si="0"/>
        <v>0</v>
      </c>
      <c r="N10" s="159">
        <f t="shared" si="1"/>
        <v>0</v>
      </c>
      <c r="O10" s="159">
        <f t="shared" si="1"/>
        <v>0</v>
      </c>
      <c r="P10" s="159">
        <f t="shared" si="1"/>
        <v>0</v>
      </c>
      <c r="Q10" s="159">
        <f t="shared" si="1"/>
        <v>0</v>
      </c>
      <c r="R10" s="159">
        <f t="shared" si="1"/>
        <v>0</v>
      </c>
      <c r="S10" s="159">
        <f t="shared" si="1"/>
        <v>0</v>
      </c>
      <c r="T10" s="159">
        <f t="shared" si="1"/>
        <v>0</v>
      </c>
      <c r="U10" s="159">
        <f t="shared" si="1"/>
        <v>0</v>
      </c>
      <c r="V10" s="159">
        <f t="shared" si="1"/>
        <v>0</v>
      </c>
      <c r="W10" s="159">
        <f t="shared" si="1"/>
        <v>0</v>
      </c>
      <c r="X10" s="159">
        <f t="shared" si="1"/>
        <v>0</v>
      </c>
      <c r="Y10" s="159">
        <f t="shared" si="1"/>
        <v>0</v>
      </c>
      <c r="Z10" s="164">
        <f t="shared" si="2"/>
        <v>51</v>
      </c>
      <c r="AA10" s="158" t="str">
        <f t="shared" si="3"/>
        <v>Hesjedal</v>
      </c>
    </row>
    <row r="11" spans="2:27">
      <c r="B11" s="250" t="s">
        <v>71</v>
      </c>
      <c r="C11" s="284" t="s">
        <v>238</v>
      </c>
      <c r="D11" s="159">
        <f t="shared" si="0"/>
        <v>0</v>
      </c>
      <c r="E11" s="159">
        <f t="shared" si="0"/>
        <v>0</v>
      </c>
      <c r="F11" s="159">
        <f t="shared" si="0"/>
        <v>0</v>
      </c>
      <c r="G11" s="159">
        <f t="shared" si="0"/>
        <v>0</v>
      </c>
      <c r="H11" s="159">
        <f t="shared" si="0"/>
        <v>0</v>
      </c>
      <c r="I11" s="159">
        <f t="shared" si="0"/>
        <v>0</v>
      </c>
      <c r="J11" s="159">
        <f t="shared" si="0"/>
        <v>0</v>
      </c>
      <c r="K11" s="159">
        <f t="shared" si="0"/>
        <v>29</v>
      </c>
      <c r="L11" s="159">
        <f t="shared" si="0"/>
        <v>1</v>
      </c>
      <c r="M11" s="159">
        <f t="shared" si="0"/>
        <v>0</v>
      </c>
      <c r="N11" s="159">
        <f t="shared" si="1"/>
        <v>0</v>
      </c>
      <c r="O11" s="159">
        <f t="shared" si="1"/>
        <v>0</v>
      </c>
      <c r="P11" s="159">
        <f t="shared" si="1"/>
        <v>0</v>
      </c>
      <c r="Q11" s="159">
        <f t="shared" si="1"/>
        <v>0</v>
      </c>
      <c r="R11" s="159">
        <f t="shared" si="1"/>
        <v>0</v>
      </c>
      <c r="S11" s="159">
        <f t="shared" si="1"/>
        <v>0</v>
      </c>
      <c r="T11" s="159">
        <f t="shared" si="1"/>
        <v>0</v>
      </c>
      <c r="U11" s="159">
        <f t="shared" si="1"/>
        <v>0</v>
      </c>
      <c r="V11" s="159">
        <f t="shared" si="1"/>
        <v>0</v>
      </c>
      <c r="W11" s="159">
        <f t="shared" si="1"/>
        <v>17</v>
      </c>
      <c r="X11" s="159">
        <f t="shared" si="1"/>
        <v>0</v>
      </c>
      <c r="Y11" s="159">
        <f t="shared" si="1"/>
        <v>0</v>
      </c>
      <c r="Z11" s="164">
        <f t="shared" si="2"/>
        <v>47</v>
      </c>
      <c r="AA11" s="158" t="str">
        <f t="shared" si="3"/>
        <v>taaramae</v>
      </c>
    </row>
    <row r="12" spans="2:27">
      <c r="B12" s="250" t="s">
        <v>71</v>
      </c>
      <c r="C12" s="284" t="s">
        <v>72</v>
      </c>
      <c r="D12" s="159">
        <f t="shared" si="0"/>
        <v>43</v>
      </c>
      <c r="E12" s="159">
        <f t="shared" si="0"/>
        <v>19</v>
      </c>
      <c r="F12" s="159">
        <f t="shared" si="0"/>
        <v>9</v>
      </c>
      <c r="G12" s="159">
        <f t="shared" si="0"/>
        <v>9</v>
      </c>
      <c r="H12" s="159">
        <f t="shared" si="0"/>
        <v>9</v>
      </c>
      <c r="I12" s="159">
        <f t="shared" si="0"/>
        <v>17</v>
      </c>
      <c r="J12" s="159">
        <f t="shared" si="0"/>
        <v>9</v>
      </c>
      <c r="K12" s="159">
        <f t="shared" si="0"/>
        <v>39</v>
      </c>
      <c r="L12" s="159">
        <f t="shared" si="0"/>
        <v>35</v>
      </c>
      <c r="M12" s="159">
        <f t="shared" si="0"/>
        <v>46</v>
      </c>
      <c r="N12" s="159">
        <f t="shared" si="1"/>
        <v>23</v>
      </c>
      <c r="O12" s="159">
        <f t="shared" si="1"/>
        <v>30</v>
      </c>
      <c r="P12" s="159">
        <f t="shared" si="1"/>
        <v>24</v>
      </c>
      <c r="Q12" s="159">
        <f t="shared" si="1"/>
        <v>24</v>
      </c>
      <c r="R12" s="159">
        <f t="shared" si="1"/>
        <v>21</v>
      </c>
      <c r="S12" s="159">
        <f t="shared" si="1"/>
        <v>10</v>
      </c>
      <c r="T12" s="159">
        <f t="shared" si="1"/>
        <v>24</v>
      </c>
      <c r="U12" s="159">
        <f t="shared" si="1"/>
        <v>36</v>
      </c>
      <c r="V12" s="159">
        <f t="shared" si="1"/>
        <v>17</v>
      </c>
      <c r="W12" s="159">
        <f t="shared" si="1"/>
        <v>45</v>
      </c>
      <c r="X12" s="159">
        <f t="shared" si="1"/>
        <v>10</v>
      </c>
      <c r="Y12" s="159">
        <f t="shared" si="1"/>
        <v>70</v>
      </c>
      <c r="Z12" s="164">
        <f t="shared" si="2"/>
        <v>569</v>
      </c>
      <c r="AA12" s="158" t="str">
        <f t="shared" si="3"/>
        <v>Wiggins</v>
      </c>
    </row>
    <row r="13" spans="2:27">
      <c r="B13" s="250" t="s">
        <v>71</v>
      </c>
      <c r="C13" s="284" t="s">
        <v>85</v>
      </c>
      <c r="D13" s="159">
        <f t="shared" si="0"/>
        <v>29</v>
      </c>
      <c r="E13" s="159">
        <f t="shared" si="0"/>
        <v>35</v>
      </c>
      <c r="F13" s="159">
        <f t="shared" si="0"/>
        <v>14</v>
      </c>
      <c r="G13" s="159">
        <f t="shared" si="0"/>
        <v>38</v>
      </c>
      <c r="H13" s="159">
        <f t="shared" si="0"/>
        <v>24</v>
      </c>
      <c r="I13" s="159">
        <f t="shared" si="0"/>
        <v>6</v>
      </c>
      <c r="J13" s="159">
        <f t="shared" si="0"/>
        <v>0</v>
      </c>
      <c r="K13" s="159">
        <f t="shared" si="0"/>
        <v>0</v>
      </c>
      <c r="L13" s="159">
        <f t="shared" si="0"/>
        <v>0</v>
      </c>
      <c r="M13" s="159">
        <f t="shared" si="0"/>
        <v>0</v>
      </c>
      <c r="N13" s="159">
        <f t="shared" si="1"/>
        <v>0</v>
      </c>
      <c r="O13" s="159">
        <f t="shared" si="1"/>
        <v>0</v>
      </c>
      <c r="P13" s="159">
        <f t="shared" si="1"/>
        <v>0</v>
      </c>
      <c r="Q13" s="159">
        <f t="shared" si="1"/>
        <v>27</v>
      </c>
      <c r="R13" s="159">
        <f t="shared" si="1"/>
        <v>1</v>
      </c>
      <c r="S13" s="159">
        <f t="shared" si="1"/>
        <v>1</v>
      </c>
      <c r="T13" s="159">
        <f t="shared" si="1"/>
        <v>1</v>
      </c>
      <c r="U13" s="159">
        <f t="shared" si="1"/>
        <v>1</v>
      </c>
      <c r="V13" s="159">
        <f t="shared" si="1"/>
        <v>14</v>
      </c>
      <c r="W13" s="159">
        <f t="shared" si="1"/>
        <v>1</v>
      </c>
      <c r="X13" s="159">
        <f t="shared" si="1"/>
        <v>18</v>
      </c>
      <c r="Y13" s="159">
        <f t="shared" si="1"/>
        <v>1</v>
      </c>
      <c r="Z13" s="164">
        <f t="shared" si="2"/>
        <v>211</v>
      </c>
      <c r="AA13" s="158" t="str">
        <f t="shared" si="3"/>
        <v>Boasson Hagen</v>
      </c>
    </row>
    <row r="14" spans="2:27">
      <c r="B14" s="250" t="s">
        <v>71</v>
      </c>
      <c r="C14" s="284" t="s">
        <v>99</v>
      </c>
      <c r="D14" s="159">
        <f t="shared" ref="D14:M20" si="4">INDEX(scorematrix,MATCH($C14,renners,0),MATCH(D$3,etappes,0))</f>
        <v>0</v>
      </c>
      <c r="E14" s="159">
        <f t="shared" si="4"/>
        <v>0</v>
      </c>
      <c r="F14" s="159">
        <f t="shared" si="4"/>
        <v>30</v>
      </c>
      <c r="G14" s="159">
        <f t="shared" si="4"/>
        <v>0</v>
      </c>
      <c r="H14" s="159">
        <f t="shared" si="4"/>
        <v>38</v>
      </c>
      <c r="I14" s="159">
        <f t="shared" si="4"/>
        <v>38</v>
      </c>
      <c r="J14" s="159">
        <f t="shared" si="4"/>
        <v>33</v>
      </c>
      <c r="K14" s="159">
        <f t="shared" si="4"/>
        <v>3</v>
      </c>
      <c r="L14" s="159">
        <f t="shared" si="4"/>
        <v>3</v>
      </c>
      <c r="M14" s="159">
        <f t="shared" si="4"/>
        <v>3</v>
      </c>
      <c r="N14" s="159">
        <f t="shared" ref="N14:Y20" si="5">INDEX(scorematrix,MATCH($C14,renners,0),MATCH(N$3,etappes,0))</f>
        <v>3</v>
      </c>
      <c r="O14" s="159">
        <f t="shared" si="5"/>
        <v>3</v>
      </c>
      <c r="P14" s="159">
        <f t="shared" si="5"/>
        <v>3</v>
      </c>
      <c r="Q14" s="159">
        <f t="shared" si="5"/>
        <v>39</v>
      </c>
      <c r="R14" s="159">
        <f t="shared" si="5"/>
        <v>4</v>
      </c>
      <c r="S14" s="159">
        <f t="shared" si="5"/>
        <v>23</v>
      </c>
      <c r="T14" s="159">
        <f t="shared" si="5"/>
        <v>4</v>
      </c>
      <c r="U14" s="159">
        <f t="shared" si="5"/>
        <v>4</v>
      </c>
      <c r="V14" s="159">
        <f t="shared" si="5"/>
        <v>19</v>
      </c>
      <c r="W14" s="159">
        <f t="shared" si="5"/>
        <v>4</v>
      </c>
      <c r="X14" s="159">
        <f t="shared" si="5"/>
        <v>22</v>
      </c>
      <c r="Y14" s="159">
        <f t="shared" si="5"/>
        <v>7</v>
      </c>
      <c r="Z14" s="164">
        <f t="shared" si="2"/>
        <v>283</v>
      </c>
      <c r="AA14" s="158" t="str">
        <f t="shared" si="3"/>
        <v>Greipel</v>
      </c>
    </row>
    <row r="15" spans="2:27">
      <c r="B15" s="250" t="s">
        <v>71</v>
      </c>
      <c r="C15" s="284" t="s">
        <v>75</v>
      </c>
      <c r="D15" s="159">
        <f t="shared" si="4"/>
        <v>0</v>
      </c>
      <c r="E15" s="159">
        <f t="shared" si="4"/>
        <v>0</v>
      </c>
      <c r="F15" s="159">
        <f t="shared" si="4"/>
        <v>39</v>
      </c>
      <c r="G15" s="159">
        <f t="shared" si="4"/>
        <v>3</v>
      </c>
      <c r="H15" s="159">
        <f t="shared" si="4"/>
        <v>2</v>
      </c>
      <c r="I15" s="159">
        <f t="shared" si="4"/>
        <v>24</v>
      </c>
      <c r="J15" s="159">
        <f t="shared" si="4"/>
        <v>2</v>
      </c>
      <c r="K15" s="159">
        <f t="shared" si="4"/>
        <v>2</v>
      </c>
      <c r="L15" s="159">
        <f t="shared" si="4"/>
        <v>2</v>
      </c>
      <c r="M15" s="159">
        <f t="shared" si="4"/>
        <v>2</v>
      </c>
      <c r="N15" s="159">
        <f t="shared" si="5"/>
        <v>2</v>
      </c>
      <c r="O15" s="159">
        <f t="shared" si="5"/>
        <v>2</v>
      </c>
      <c r="P15" s="159">
        <f t="shared" si="5"/>
        <v>2</v>
      </c>
      <c r="Q15" s="159">
        <f t="shared" si="5"/>
        <v>2</v>
      </c>
      <c r="R15" s="159">
        <f t="shared" si="5"/>
        <v>2</v>
      </c>
      <c r="S15" s="159">
        <f t="shared" si="5"/>
        <v>2</v>
      </c>
      <c r="T15" s="159">
        <f t="shared" si="5"/>
        <v>2</v>
      </c>
      <c r="U15" s="159">
        <f t="shared" si="5"/>
        <v>2</v>
      </c>
      <c r="V15" s="159">
        <f t="shared" si="5"/>
        <v>37</v>
      </c>
      <c r="W15" s="159">
        <f t="shared" si="5"/>
        <v>2</v>
      </c>
      <c r="X15" s="159">
        <f t="shared" si="5"/>
        <v>37</v>
      </c>
      <c r="Y15" s="159">
        <f t="shared" si="5"/>
        <v>3</v>
      </c>
      <c r="Z15" s="164">
        <f t="shared" si="2"/>
        <v>171</v>
      </c>
      <c r="AA15" s="158" t="str">
        <f t="shared" si="3"/>
        <v>Cavendish</v>
      </c>
    </row>
    <row r="16" spans="2:27">
      <c r="B16" s="250" t="s">
        <v>71</v>
      </c>
      <c r="C16" s="284" t="s">
        <v>161</v>
      </c>
      <c r="D16" s="159">
        <f t="shared" si="4"/>
        <v>0</v>
      </c>
      <c r="E16" s="159">
        <f t="shared" si="4"/>
        <v>15</v>
      </c>
      <c r="F16" s="159">
        <f t="shared" si="4"/>
        <v>0</v>
      </c>
      <c r="G16" s="159">
        <f t="shared" si="4"/>
        <v>0</v>
      </c>
      <c r="H16" s="159">
        <f t="shared" si="4"/>
        <v>0</v>
      </c>
      <c r="I16" s="159">
        <f t="shared" si="4"/>
        <v>0</v>
      </c>
      <c r="J16" s="159">
        <f t="shared" si="4"/>
        <v>0</v>
      </c>
      <c r="K16" s="159">
        <f t="shared" si="4"/>
        <v>0</v>
      </c>
      <c r="L16" s="159">
        <f t="shared" si="4"/>
        <v>23</v>
      </c>
      <c r="M16" s="159">
        <f t="shared" si="4"/>
        <v>2</v>
      </c>
      <c r="N16" s="159">
        <f t="shared" si="5"/>
        <v>20</v>
      </c>
      <c r="O16" s="159">
        <f t="shared" si="5"/>
        <v>30</v>
      </c>
      <c r="P16" s="159">
        <f t="shared" si="5"/>
        <v>14</v>
      </c>
      <c r="Q16" s="159">
        <f t="shared" si="5"/>
        <v>15</v>
      </c>
      <c r="R16" s="159">
        <f t="shared" si="5"/>
        <v>6</v>
      </c>
      <c r="S16" s="159">
        <f t="shared" si="5"/>
        <v>6</v>
      </c>
      <c r="T16" s="159">
        <f t="shared" si="5"/>
        <v>17</v>
      </c>
      <c r="U16" s="159">
        <f t="shared" si="5"/>
        <v>27</v>
      </c>
      <c r="V16" s="159">
        <f t="shared" si="5"/>
        <v>7</v>
      </c>
      <c r="W16" s="159">
        <f t="shared" si="5"/>
        <v>7</v>
      </c>
      <c r="X16" s="159">
        <f t="shared" si="5"/>
        <v>7</v>
      </c>
      <c r="Y16" s="159">
        <f t="shared" si="5"/>
        <v>48</v>
      </c>
      <c r="Z16" s="164">
        <f t="shared" si="2"/>
        <v>244</v>
      </c>
      <c r="AA16" s="158" t="str">
        <f t="shared" si="3"/>
        <v>Van den Broeck</v>
      </c>
    </row>
    <row r="17" spans="2:27">
      <c r="B17" s="250" t="s">
        <v>71</v>
      </c>
      <c r="C17" s="284" t="s">
        <v>143</v>
      </c>
      <c r="D17" s="159">
        <f t="shared" si="4"/>
        <v>0</v>
      </c>
      <c r="E17" s="159">
        <f t="shared" si="4"/>
        <v>20</v>
      </c>
      <c r="F17" s="159">
        <f t="shared" si="4"/>
        <v>0</v>
      </c>
      <c r="G17" s="159">
        <f t="shared" si="4"/>
        <v>0</v>
      </c>
      <c r="H17" s="159">
        <f t="shared" si="4"/>
        <v>0</v>
      </c>
      <c r="I17" s="159">
        <f t="shared" si="4"/>
        <v>0</v>
      </c>
      <c r="J17" s="159">
        <f t="shared" si="4"/>
        <v>0</v>
      </c>
      <c r="K17" s="159">
        <f t="shared" si="4"/>
        <v>0</v>
      </c>
      <c r="L17" s="159">
        <f t="shared" si="4"/>
        <v>0</v>
      </c>
      <c r="M17" s="159">
        <f t="shared" si="4"/>
        <v>0</v>
      </c>
      <c r="N17" s="159">
        <f t="shared" si="5"/>
        <v>9</v>
      </c>
      <c r="O17" s="159">
        <f t="shared" si="5"/>
        <v>0</v>
      </c>
      <c r="P17" s="159">
        <f t="shared" si="5"/>
        <v>0</v>
      </c>
      <c r="Q17" s="159">
        <f t="shared" si="5"/>
        <v>0</v>
      </c>
      <c r="R17" s="159">
        <f t="shared" si="5"/>
        <v>0</v>
      </c>
      <c r="S17" s="159">
        <f t="shared" si="5"/>
        <v>0</v>
      </c>
      <c r="T17" s="159">
        <f t="shared" si="5"/>
        <v>8</v>
      </c>
      <c r="U17" s="159">
        <f t="shared" si="5"/>
        <v>36</v>
      </c>
      <c r="V17" s="159">
        <f t="shared" si="5"/>
        <v>1</v>
      </c>
      <c r="W17" s="159">
        <f t="shared" si="5"/>
        <v>1</v>
      </c>
      <c r="X17" s="159">
        <f t="shared" si="5"/>
        <v>1</v>
      </c>
      <c r="Y17" s="159">
        <f t="shared" si="5"/>
        <v>13</v>
      </c>
      <c r="Z17" s="164">
        <f t="shared" si="2"/>
        <v>89</v>
      </c>
      <c r="AA17" s="158" t="str">
        <f t="shared" si="3"/>
        <v>Valverde</v>
      </c>
    </row>
    <row r="18" spans="2:27">
      <c r="B18" s="250" t="s">
        <v>71</v>
      </c>
      <c r="C18" s="284" t="s">
        <v>173</v>
      </c>
      <c r="D18" s="159">
        <f t="shared" si="4"/>
        <v>0</v>
      </c>
      <c r="E18" s="159">
        <f t="shared" si="4"/>
        <v>0</v>
      </c>
      <c r="F18" s="159">
        <f t="shared" si="4"/>
        <v>0</v>
      </c>
      <c r="G18" s="159">
        <f t="shared" si="4"/>
        <v>0</v>
      </c>
      <c r="H18" s="159">
        <f t="shared" si="4"/>
        <v>0</v>
      </c>
      <c r="I18" s="159">
        <f t="shared" si="4"/>
        <v>0</v>
      </c>
      <c r="J18" s="159">
        <f t="shared" si="4"/>
        <v>0</v>
      </c>
      <c r="K18" s="159">
        <f t="shared" si="4"/>
        <v>0</v>
      </c>
      <c r="L18" s="159">
        <f t="shared" si="4"/>
        <v>0</v>
      </c>
      <c r="M18" s="159">
        <f t="shared" si="4"/>
        <v>0</v>
      </c>
      <c r="N18" s="159">
        <f t="shared" si="5"/>
        <v>0</v>
      </c>
      <c r="O18" s="159">
        <f t="shared" si="5"/>
        <v>9</v>
      </c>
      <c r="P18" s="159">
        <f t="shared" si="5"/>
        <v>0</v>
      </c>
      <c r="Q18" s="159">
        <f t="shared" si="5"/>
        <v>0</v>
      </c>
      <c r="R18" s="159">
        <f t="shared" si="5"/>
        <v>0</v>
      </c>
      <c r="S18" s="159">
        <f t="shared" si="5"/>
        <v>0</v>
      </c>
      <c r="T18" s="159">
        <f t="shared" si="5"/>
        <v>7</v>
      </c>
      <c r="U18" s="159">
        <f t="shared" si="5"/>
        <v>0</v>
      </c>
      <c r="V18" s="159">
        <f t="shared" si="5"/>
        <v>0</v>
      </c>
      <c r="W18" s="159">
        <f t="shared" si="5"/>
        <v>0</v>
      </c>
      <c r="X18" s="159">
        <f t="shared" si="5"/>
        <v>0</v>
      </c>
      <c r="Y18" s="159">
        <f t="shared" si="5"/>
        <v>0</v>
      </c>
      <c r="Z18" s="164">
        <f t="shared" si="2"/>
        <v>16</v>
      </c>
      <c r="AA18" s="158" t="str">
        <f t="shared" si="3"/>
        <v>Cobo Acebo</v>
      </c>
    </row>
    <row r="19" spans="2:27">
      <c r="B19" s="250" t="s">
        <v>71</v>
      </c>
      <c r="C19" s="284" t="s">
        <v>73</v>
      </c>
      <c r="D19" s="159">
        <f t="shared" si="4"/>
        <v>0</v>
      </c>
      <c r="E19" s="159">
        <f t="shared" si="4"/>
        <v>9</v>
      </c>
      <c r="F19" s="159">
        <f t="shared" si="4"/>
        <v>0</v>
      </c>
      <c r="G19" s="159">
        <f t="shared" si="4"/>
        <v>9</v>
      </c>
      <c r="H19" s="159">
        <f t="shared" si="4"/>
        <v>7</v>
      </c>
      <c r="I19" s="159">
        <f t="shared" si="4"/>
        <v>10</v>
      </c>
      <c r="J19" s="159">
        <f t="shared" si="4"/>
        <v>0</v>
      </c>
      <c r="K19" s="159">
        <f t="shared" si="4"/>
        <v>18</v>
      </c>
      <c r="L19" s="159">
        <f t="shared" si="4"/>
        <v>0</v>
      </c>
      <c r="M19" s="159">
        <f t="shared" si="4"/>
        <v>11</v>
      </c>
      <c r="N19" s="159">
        <f t="shared" si="5"/>
        <v>0</v>
      </c>
      <c r="O19" s="159">
        <f t="shared" si="5"/>
        <v>21</v>
      </c>
      <c r="P19" s="159">
        <f t="shared" si="5"/>
        <v>13</v>
      </c>
      <c r="Q19" s="159">
        <f t="shared" si="5"/>
        <v>16</v>
      </c>
      <c r="R19" s="159">
        <f t="shared" si="5"/>
        <v>3</v>
      </c>
      <c r="S19" s="159">
        <f t="shared" si="5"/>
        <v>9</v>
      </c>
      <c r="T19" s="159">
        <f t="shared" si="5"/>
        <v>3</v>
      </c>
      <c r="U19" s="159">
        <f t="shared" si="5"/>
        <v>11</v>
      </c>
      <c r="V19" s="159">
        <f t="shared" si="5"/>
        <v>2</v>
      </c>
      <c r="W19" s="159">
        <f t="shared" si="5"/>
        <v>2</v>
      </c>
      <c r="X19" s="159">
        <f t="shared" si="5"/>
        <v>11</v>
      </c>
      <c r="Y19" s="159">
        <f t="shared" si="5"/>
        <v>34</v>
      </c>
      <c r="Z19" s="164">
        <f t="shared" si="2"/>
        <v>189</v>
      </c>
      <c r="AA19" s="158" t="str">
        <f>C19</f>
        <v>Brajkovic</v>
      </c>
    </row>
    <row r="20" spans="2:27" s="218" customFormat="1">
      <c r="B20" s="250" t="s">
        <v>71</v>
      </c>
      <c r="C20" s="284" t="s">
        <v>82</v>
      </c>
      <c r="D20" s="159">
        <f t="shared" si="4"/>
        <v>0</v>
      </c>
      <c r="E20" s="159">
        <f t="shared" si="4"/>
        <v>0</v>
      </c>
      <c r="F20" s="159">
        <f t="shared" si="4"/>
        <v>0</v>
      </c>
      <c r="G20" s="159">
        <f t="shared" si="4"/>
        <v>0</v>
      </c>
      <c r="H20" s="159">
        <f t="shared" si="4"/>
        <v>0</v>
      </c>
      <c r="I20" s="159">
        <f t="shared" si="4"/>
        <v>0</v>
      </c>
      <c r="J20" s="159">
        <f t="shared" si="4"/>
        <v>0</v>
      </c>
      <c r="K20" s="159">
        <f t="shared" si="4"/>
        <v>0</v>
      </c>
      <c r="L20" s="159">
        <f t="shared" si="4"/>
        <v>0</v>
      </c>
      <c r="M20" s="159">
        <f t="shared" si="4"/>
        <v>14</v>
      </c>
      <c r="N20" s="159">
        <f t="shared" si="5"/>
        <v>0</v>
      </c>
      <c r="O20" s="159">
        <f t="shared" si="5"/>
        <v>0</v>
      </c>
      <c r="P20" s="159">
        <f t="shared" si="5"/>
        <v>0</v>
      </c>
      <c r="Q20" s="159">
        <f t="shared" si="5"/>
        <v>0</v>
      </c>
      <c r="R20" s="159">
        <f t="shared" si="5"/>
        <v>0</v>
      </c>
      <c r="S20" s="159">
        <f t="shared" si="5"/>
        <v>0</v>
      </c>
      <c r="T20" s="159">
        <f t="shared" si="5"/>
        <v>0</v>
      </c>
      <c r="U20" s="159">
        <f t="shared" si="5"/>
        <v>0</v>
      </c>
      <c r="V20" s="159">
        <f t="shared" si="5"/>
        <v>0</v>
      </c>
      <c r="W20" s="159">
        <f t="shared" si="5"/>
        <v>0</v>
      </c>
      <c r="X20" s="159">
        <f t="shared" si="5"/>
        <v>0</v>
      </c>
      <c r="Y20" s="159">
        <f t="shared" si="5"/>
        <v>0</v>
      </c>
      <c r="Z20" s="164">
        <f t="shared" si="2"/>
        <v>14</v>
      </c>
      <c r="AA20" s="158" t="str">
        <f>C20</f>
        <v>Martin</v>
      </c>
    </row>
    <row r="21" spans="2:27" s="219" customFormat="1">
      <c r="B21" s="244"/>
      <c r="C21" s="245"/>
      <c r="D21" s="221"/>
      <c r="E21" s="221"/>
      <c r="F21" s="221"/>
      <c r="G21" s="221"/>
      <c r="H21" s="221"/>
      <c r="I21" s="221"/>
      <c r="J21" s="221"/>
      <c r="K21" s="221"/>
      <c r="L21" s="221"/>
      <c r="M21" s="221">
        <f>M24</f>
        <v>26</v>
      </c>
      <c r="N21" s="221"/>
      <c r="O21" s="221"/>
      <c r="P21" s="221"/>
      <c r="Q21" s="221"/>
      <c r="R21" s="221"/>
      <c r="S21" s="221"/>
      <c r="T21" s="221"/>
      <c r="U21" s="221"/>
      <c r="V21" s="221"/>
      <c r="W21" s="221"/>
      <c r="X21" s="221"/>
      <c r="Y21" s="221"/>
      <c r="Z21" s="246"/>
    </row>
    <row r="22" spans="2:27" s="162" customFormat="1">
      <c r="B22" s="247"/>
      <c r="C22" s="248"/>
      <c r="D22" s="223">
        <f t="shared" ref="D22:Y22" si="6">SUM(D4:D21)</f>
        <v>96</v>
      </c>
      <c r="E22" s="223">
        <f t="shared" si="6"/>
        <v>175</v>
      </c>
      <c r="F22" s="223">
        <f>SUM(F4:F21)</f>
        <v>123</v>
      </c>
      <c r="G22" s="223">
        <f t="shared" si="6"/>
        <v>167</v>
      </c>
      <c r="H22" s="223">
        <f t="shared" si="6"/>
        <v>116</v>
      </c>
      <c r="I22" s="223">
        <f t="shared" si="6"/>
        <v>118</v>
      </c>
      <c r="J22" s="223">
        <f t="shared" si="6"/>
        <v>114</v>
      </c>
      <c r="K22" s="223">
        <f t="shared" si="6"/>
        <v>182</v>
      </c>
      <c r="L22" s="223">
        <f t="shared" si="6"/>
        <v>137</v>
      </c>
      <c r="M22" s="223">
        <f t="shared" si="6"/>
        <v>141</v>
      </c>
      <c r="N22" s="223">
        <f t="shared" si="6"/>
        <v>103</v>
      </c>
      <c r="O22" s="223">
        <f t="shared" si="6"/>
        <v>179</v>
      </c>
      <c r="P22" s="223">
        <f t="shared" si="6"/>
        <v>112</v>
      </c>
      <c r="Q22" s="223">
        <f t="shared" si="6"/>
        <v>181</v>
      </c>
      <c r="R22" s="223">
        <f t="shared" si="6"/>
        <v>95</v>
      </c>
      <c r="S22" s="223">
        <f t="shared" si="6"/>
        <v>86</v>
      </c>
      <c r="T22" s="223">
        <f t="shared" si="6"/>
        <v>79</v>
      </c>
      <c r="U22" s="223">
        <f t="shared" si="6"/>
        <v>162</v>
      </c>
      <c r="V22" s="223">
        <f t="shared" si="6"/>
        <v>138</v>
      </c>
      <c r="W22" s="223">
        <f t="shared" si="6"/>
        <v>93</v>
      </c>
      <c r="X22" s="223">
        <f t="shared" si="6"/>
        <v>150</v>
      </c>
      <c r="Y22" s="223">
        <f t="shared" si="6"/>
        <v>263</v>
      </c>
      <c r="Z22" s="224">
        <f>SUM(Z4:Z21)</f>
        <v>2984</v>
      </c>
    </row>
    <row r="23" spans="2:27" s="225" customFormat="1">
      <c r="B23" s="249"/>
      <c r="C23" s="239"/>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50"/>
      <c r="C24" s="251" t="s">
        <v>79</v>
      </c>
      <c r="D24" s="295">
        <f t="shared" ref="D24:Y26" si="7">INDEX(scorematrix,MATCH($C24,renners,0),MATCH(D$3,etappes,0))</f>
        <v>50</v>
      </c>
      <c r="E24" s="295">
        <f t="shared" si="7"/>
        <v>45</v>
      </c>
      <c r="F24" s="295">
        <f t="shared" si="7"/>
        <v>13</v>
      </c>
      <c r="G24" s="295">
        <f t="shared" si="7"/>
        <v>38</v>
      </c>
      <c r="H24" s="295">
        <f t="shared" si="7"/>
        <v>10</v>
      </c>
      <c r="I24" s="295">
        <f t="shared" si="7"/>
        <v>10</v>
      </c>
      <c r="J24" s="295">
        <f t="shared" si="7"/>
        <v>10</v>
      </c>
      <c r="K24" s="295">
        <f t="shared" si="7"/>
        <v>6</v>
      </c>
      <c r="L24" s="297">
        <f t="shared" si="7"/>
        <v>0</v>
      </c>
      <c r="M24" s="296">
        <f t="shared" si="7"/>
        <v>26</v>
      </c>
      <c r="N24" s="295">
        <f t="shared" si="7"/>
        <v>0</v>
      </c>
      <c r="O24" s="295">
        <f t="shared" si="7"/>
        <v>0</v>
      </c>
      <c r="P24" s="295">
        <f t="shared" si="7"/>
        <v>0</v>
      </c>
      <c r="Q24" s="295">
        <f t="shared" si="7"/>
        <v>0</v>
      </c>
      <c r="R24" s="295">
        <f t="shared" si="7"/>
        <v>0</v>
      </c>
      <c r="S24" s="295">
        <f t="shared" si="7"/>
        <v>0</v>
      </c>
      <c r="T24" s="295">
        <f t="shared" si="7"/>
        <v>0</v>
      </c>
      <c r="U24" s="295">
        <f t="shared" si="7"/>
        <v>0</v>
      </c>
      <c r="V24" s="295">
        <f t="shared" si="7"/>
        <v>0</v>
      </c>
      <c r="W24" s="295">
        <f t="shared" si="7"/>
        <v>0</v>
      </c>
      <c r="X24" s="295">
        <f t="shared" si="7"/>
        <v>0</v>
      </c>
      <c r="Y24" s="295">
        <f t="shared" si="7"/>
        <v>0</v>
      </c>
      <c r="Z24" s="229">
        <f>SUM(D24:Y24)</f>
        <v>208</v>
      </c>
    </row>
    <row r="25" spans="2:27" s="230" customFormat="1">
      <c r="B25" s="250"/>
      <c r="C25" s="251" t="s">
        <v>125</v>
      </c>
      <c r="D25" s="295">
        <f t="shared" si="7"/>
        <v>0</v>
      </c>
      <c r="E25" s="295">
        <f t="shared" si="7"/>
        <v>0</v>
      </c>
      <c r="F25" s="295">
        <f t="shared" si="7"/>
        <v>0</v>
      </c>
      <c r="G25" s="295">
        <f t="shared" si="7"/>
        <v>0</v>
      </c>
      <c r="H25" s="295">
        <f t="shared" si="7"/>
        <v>0</v>
      </c>
      <c r="I25" s="295">
        <f t="shared" si="7"/>
        <v>0</v>
      </c>
      <c r="J25" s="295">
        <f t="shared" si="7"/>
        <v>0</v>
      </c>
      <c r="K25" s="295">
        <f t="shared" si="7"/>
        <v>0</v>
      </c>
      <c r="L25" s="297">
        <f t="shared" si="7"/>
        <v>0</v>
      </c>
      <c r="M25" s="297">
        <f t="shared" si="7"/>
        <v>0</v>
      </c>
      <c r="N25" s="296">
        <f t="shared" si="7"/>
        <v>0</v>
      </c>
      <c r="O25" s="295">
        <f t="shared" si="7"/>
        <v>0</v>
      </c>
      <c r="P25" s="295">
        <f t="shared" si="7"/>
        <v>0</v>
      </c>
      <c r="Q25" s="295">
        <f t="shared" si="7"/>
        <v>0</v>
      </c>
      <c r="R25" s="295">
        <f t="shared" si="7"/>
        <v>0</v>
      </c>
      <c r="S25" s="295">
        <f t="shared" si="7"/>
        <v>0</v>
      </c>
      <c r="T25" s="295">
        <f t="shared" si="7"/>
        <v>0</v>
      </c>
      <c r="U25" s="295">
        <f t="shared" si="7"/>
        <v>0</v>
      </c>
      <c r="V25" s="295">
        <f t="shared" si="7"/>
        <v>0</v>
      </c>
      <c r="W25" s="295">
        <f t="shared" si="7"/>
        <v>0</v>
      </c>
      <c r="X25" s="295">
        <f t="shared" si="7"/>
        <v>0</v>
      </c>
      <c r="Y25" s="295">
        <f t="shared" si="7"/>
        <v>0</v>
      </c>
      <c r="Z25" s="229">
        <f>SUM(D25:Y25)</f>
        <v>0</v>
      </c>
    </row>
    <row r="26" spans="2:27" s="230" customFormat="1">
      <c r="B26" s="250"/>
      <c r="C26" s="251" t="s">
        <v>132</v>
      </c>
      <c r="D26" s="295">
        <f t="shared" si="7"/>
        <v>0</v>
      </c>
      <c r="E26" s="295">
        <f t="shared" si="7"/>
        <v>0</v>
      </c>
      <c r="F26" s="295">
        <f t="shared" si="7"/>
        <v>0</v>
      </c>
      <c r="G26" s="295">
        <f t="shared" si="7"/>
        <v>0</v>
      </c>
      <c r="H26" s="295">
        <f t="shared" si="7"/>
        <v>0</v>
      </c>
      <c r="I26" s="295">
        <f t="shared" si="7"/>
        <v>0</v>
      </c>
      <c r="J26" s="295">
        <f t="shared" si="7"/>
        <v>0</v>
      </c>
      <c r="K26" s="295">
        <f t="shared" si="7"/>
        <v>0</v>
      </c>
      <c r="L26" s="295">
        <f t="shared" si="7"/>
        <v>0</v>
      </c>
      <c r="M26" s="295">
        <f t="shared" si="7"/>
        <v>0</v>
      </c>
      <c r="N26" s="295">
        <f t="shared" si="7"/>
        <v>0</v>
      </c>
      <c r="O26" s="295">
        <f t="shared" si="7"/>
        <v>0</v>
      </c>
      <c r="P26" s="295">
        <f t="shared" si="7"/>
        <v>0</v>
      </c>
      <c r="Q26" s="295">
        <f t="shared" si="7"/>
        <v>0</v>
      </c>
      <c r="R26" s="295">
        <f t="shared" si="7"/>
        <v>0</v>
      </c>
      <c r="S26" s="295">
        <f t="shared" si="7"/>
        <v>0</v>
      </c>
      <c r="T26" s="295">
        <f t="shared" si="7"/>
        <v>0</v>
      </c>
      <c r="U26" s="295">
        <f t="shared" si="7"/>
        <v>0</v>
      </c>
      <c r="V26" s="295">
        <f t="shared" si="7"/>
        <v>0</v>
      </c>
      <c r="W26" s="295">
        <f t="shared" si="7"/>
        <v>0</v>
      </c>
      <c r="X26" s="295">
        <f t="shared" si="7"/>
        <v>0</v>
      </c>
      <c r="Y26" s="295">
        <f t="shared" si="7"/>
        <v>0</v>
      </c>
      <c r="Z26" s="229">
        <f>SUM(D26:Y26)</f>
        <v>0</v>
      </c>
    </row>
    <row r="27" spans="2:27" s="225" customFormat="1">
      <c r="C27" s="171"/>
      <c r="D27" s="194"/>
      <c r="E27" s="194"/>
      <c r="F27" s="194"/>
      <c r="G27" s="226"/>
      <c r="H27" s="194"/>
      <c r="I27" s="194"/>
      <c r="J27" s="194"/>
      <c r="K27" s="194"/>
      <c r="L27" s="194"/>
      <c r="M27" s="194"/>
      <c r="N27" s="194"/>
      <c r="O27" s="194"/>
      <c r="Z27" s="231"/>
    </row>
    <row r="28" spans="2:27" s="225" customFormat="1">
      <c r="C28" s="232"/>
      <c r="D28" s="194"/>
      <c r="E28" s="194"/>
      <c r="F28" s="194"/>
      <c r="G28" s="226"/>
      <c r="H28" s="194"/>
      <c r="I28" s="194"/>
      <c r="J28" s="194"/>
      <c r="K28" s="194"/>
      <c r="L28" s="194"/>
      <c r="M28" s="194"/>
      <c r="N28" s="194"/>
      <c r="O28" s="194"/>
      <c r="Z28" s="231"/>
    </row>
    <row r="29" spans="2:27" s="225" customFormat="1">
      <c r="C29" s="171"/>
      <c r="D29" s="194"/>
      <c r="E29" s="194"/>
      <c r="F29" s="194"/>
      <c r="G29" s="226"/>
      <c r="H29" s="194"/>
      <c r="I29" s="194"/>
      <c r="J29" s="194"/>
      <c r="K29" s="194"/>
      <c r="L29" s="194"/>
      <c r="M29" s="194"/>
      <c r="N29" s="194"/>
      <c r="O29" s="194"/>
      <c r="Z29" s="231"/>
    </row>
    <row r="30" spans="2:27" s="225" customFormat="1">
      <c r="C30" s="171"/>
      <c r="D30" s="194"/>
      <c r="E30" s="194"/>
      <c r="F30" s="194"/>
      <c r="G30" s="226"/>
      <c r="H30" s="194"/>
      <c r="I30" s="194"/>
      <c r="J30" s="194"/>
      <c r="K30" s="194"/>
      <c r="L30" s="194"/>
      <c r="M30" s="194"/>
      <c r="N30" s="194"/>
      <c r="O30" s="194"/>
      <c r="Z30" s="231"/>
    </row>
    <row r="31" spans="2:27" s="225" customFormat="1">
      <c r="C31" s="158"/>
      <c r="D31" s="194"/>
      <c r="E31" s="194"/>
      <c r="F31" s="194"/>
      <c r="G31" s="226"/>
      <c r="H31" s="194"/>
      <c r="I31" s="194"/>
      <c r="J31" s="194"/>
      <c r="K31" s="194"/>
      <c r="L31" s="194"/>
      <c r="M31" s="194"/>
      <c r="N31" s="194"/>
      <c r="O31" s="194"/>
      <c r="Z31" s="231"/>
    </row>
    <row r="32" spans="2:27" s="234" customFormat="1">
      <c r="C32" s="158"/>
      <c r="D32" s="235"/>
      <c r="E32" s="235"/>
      <c r="F32" s="235"/>
      <c r="G32" s="236"/>
      <c r="H32" s="190"/>
      <c r="I32" s="190"/>
      <c r="J32" s="190"/>
      <c r="K32" s="190"/>
      <c r="L32" s="190"/>
      <c r="M32" s="190"/>
      <c r="N32" s="190"/>
      <c r="O32" s="190"/>
      <c r="P32" s="237"/>
      <c r="Z32" s="180"/>
    </row>
    <row r="33" spans="3:26" s="234" customFormat="1">
      <c r="C33" s="158"/>
      <c r="D33" s="235"/>
      <c r="E33" s="235"/>
      <c r="F33" s="235"/>
      <c r="G33" s="236"/>
      <c r="H33" s="190"/>
      <c r="I33" s="190"/>
      <c r="J33" s="190"/>
      <c r="K33" s="190"/>
      <c r="L33" s="190"/>
      <c r="M33" s="190"/>
      <c r="N33" s="190"/>
      <c r="O33" s="190"/>
      <c r="P33" s="237"/>
      <c r="Z33" s="180"/>
    </row>
    <row r="34" spans="3:26" s="234" customFormat="1">
      <c r="C34" s="158"/>
      <c r="D34" s="235"/>
      <c r="E34" s="235"/>
      <c r="F34" s="235"/>
      <c r="G34" s="236"/>
      <c r="H34" s="190"/>
      <c r="I34" s="190"/>
      <c r="J34" s="190"/>
      <c r="K34" s="190"/>
      <c r="L34" s="190"/>
      <c r="M34" s="190"/>
      <c r="N34" s="190"/>
      <c r="O34" s="190"/>
      <c r="P34" s="237"/>
      <c r="Z34" s="180"/>
    </row>
    <row r="35" spans="3:26" s="234" customFormat="1">
      <c r="C35" s="158"/>
      <c r="D35" s="235"/>
      <c r="E35" s="235"/>
      <c r="F35" s="235"/>
      <c r="G35" s="236"/>
      <c r="H35" s="190"/>
      <c r="I35" s="190"/>
      <c r="J35" s="190"/>
      <c r="K35" s="190"/>
      <c r="L35" s="190"/>
      <c r="M35" s="190"/>
      <c r="N35" s="190"/>
      <c r="O35" s="190"/>
      <c r="P35" s="237"/>
      <c r="Z35" s="180"/>
    </row>
    <row r="36" spans="3:26" s="234" customFormat="1">
      <c r="C36" s="158"/>
      <c r="D36" s="235"/>
      <c r="E36" s="235"/>
      <c r="F36" s="235"/>
      <c r="G36" s="236"/>
      <c r="H36" s="190"/>
      <c r="I36" s="190"/>
      <c r="J36" s="190"/>
      <c r="K36" s="190"/>
      <c r="L36" s="190"/>
      <c r="M36" s="190"/>
      <c r="N36" s="190"/>
      <c r="O36" s="190"/>
      <c r="P36" s="237"/>
      <c r="Z36" s="180"/>
    </row>
    <row r="37" spans="3:26" s="234" customFormat="1">
      <c r="C37" s="158"/>
      <c r="D37" s="235"/>
      <c r="E37" s="235"/>
      <c r="F37" s="235"/>
      <c r="G37" s="236"/>
      <c r="H37" s="190"/>
      <c r="I37" s="190"/>
      <c r="J37" s="190"/>
      <c r="K37" s="190"/>
      <c r="L37" s="190"/>
      <c r="M37" s="190"/>
      <c r="N37" s="190"/>
      <c r="O37" s="190"/>
      <c r="P37" s="237"/>
      <c r="Z37" s="180"/>
    </row>
    <row r="38" spans="3:26" s="234" customFormat="1">
      <c r="C38" s="158"/>
      <c r="D38" s="235"/>
      <c r="E38" s="235"/>
      <c r="F38" s="235"/>
      <c r="G38" s="236"/>
      <c r="H38" s="190"/>
      <c r="I38" s="190"/>
      <c r="J38" s="190"/>
      <c r="K38" s="190"/>
      <c r="L38" s="190"/>
      <c r="M38" s="190"/>
      <c r="N38" s="190"/>
      <c r="O38" s="190"/>
      <c r="P38" s="237"/>
      <c r="Z38" s="180"/>
    </row>
    <row r="39" spans="3:26" s="234" customFormat="1">
      <c r="C39" s="158"/>
      <c r="D39" s="235"/>
      <c r="E39" s="235"/>
      <c r="F39" s="235"/>
      <c r="G39" s="236"/>
      <c r="H39" s="190"/>
      <c r="I39" s="190"/>
      <c r="J39" s="190"/>
      <c r="K39" s="190"/>
      <c r="L39" s="190"/>
      <c r="M39" s="190"/>
      <c r="N39" s="190"/>
      <c r="O39" s="190"/>
      <c r="P39" s="237"/>
      <c r="Z39" s="180"/>
    </row>
    <row r="40" spans="3:26" s="234" customFormat="1">
      <c r="C40" s="158"/>
      <c r="D40" s="235"/>
      <c r="E40" s="235"/>
      <c r="F40" s="235"/>
      <c r="G40" s="236"/>
      <c r="H40" s="190"/>
      <c r="I40" s="190"/>
      <c r="J40" s="190"/>
      <c r="K40" s="190"/>
      <c r="L40" s="190"/>
      <c r="M40" s="190"/>
      <c r="N40" s="190"/>
      <c r="O40" s="190"/>
      <c r="P40" s="237"/>
      <c r="Z40" s="180"/>
    </row>
    <row r="41" spans="3:26" s="234" customFormat="1">
      <c r="C41" s="158"/>
      <c r="D41" s="235"/>
      <c r="E41" s="235"/>
      <c r="F41" s="235"/>
      <c r="G41" s="236"/>
      <c r="H41" s="190"/>
      <c r="I41" s="190"/>
      <c r="J41" s="190"/>
      <c r="K41" s="190"/>
      <c r="L41" s="190"/>
      <c r="M41" s="190"/>
      <c r="N41" s="190"/>
      <c r="O41" s="190"/>
      <c r="P41" s="237"/>
      <c r="Z41" s="180"/>
    </row>
    <row r="42" spans="3:26" s="234" customFormat="1">
      <c r="C42" s="158"/>
      <c r="D42" s="235"/>
      <c r="E42" s="235"/>
      <c r="F42" s="235"/>
      <c r="G42" s="236"/>
      <c r="H42" s="190"/>
      <c r="I42" s="190"/>
      <c r="J42" s="190"/>
      <c r="K42" s="190"/>
      <c r="L42" s="190"/>
      <c r="M42" s="190"/>
      <c r="N42" s="190"/>
      <c r="O42" s="190"/>
      <c r="P42" s="237"/>
      <c r="Z42" s="180"/>
    </row>
    <row r="43" spans="3:26" s="234" customFormat="1">
      <c r="C43" s="158"/>
      <c r="D43" s="235"/>
      <c r="E43" s="235"/>
      <c r="F43" s="235"/>
      <c r="G43" s="236"/>
      <c r="H43" s="190"/>
      <c r="I43" s="190"/>
      <c r="J43" s="190"/>
      <c r="K43" s="190"/>
      <c r="L43" s="190"/>
      <c r="M43" s="190"/>
      <c r="N43" s="190"/>
      <c r="O43" s="190"/>
      <c r="P43" s="237"/>
      <c r="Z43" s="180"/>
    </row>
    <row r="44" spans="3:26" s="234" customFormat="1">
      <c r="C44" s="158"/>
      <c r="D44" s="235"/>
      <c r="E44" s="235"/>
      <c r="F44" s="235"/>
      <c r="G44" s="236"/>
      <c r="H44" s="190"/>
      <c r="I44" s="190"/>
      <c r="J44" s="190"/>
      <c r="K44" s="190"/>
      <c r="L44" s="190"/>
      <c r="M44" s="190"/>
      <c r="N44" s="190"/>
      <c r="O44" s="190"/>
      <c r="P44" s="237"/>
      <c r="Z44" s="180"/>
    </row>
    <row r="45" spans="3:26" s="234" customFormat="1">
      <c r="C45" s="158"/>
      <c r="D45" s="235"/>
      <c r="E45" s="235"/>
      <c r="F45" s="235"/>
      <c r="G45" s="236"/>
      <c r="H45" s="190"/>
      <c r="I45" s="190"/>
      <c r="J45" s="190"/>
      <c r="K45" s="190"/>
      <c r="L45" s="190"/>
      <c r="M45" s="190"/>
      <c r="N45" s="190"/>
      <c r="O45" s="190"/>
      <c r="P45" s="237"/>
      <c r="Z45" s="180"/>
    </row>
    <row r="46" spans="3:26" s="234" customFormat="1">
      <c r="C46" s="158"/>
      <c r="D46" s="235"/>
      <c r="E46" s="235"/>
      <c r="F46" s="235"/>
      <c r="G46" s="236"/>
      <c r="H46" s="190"/>
      <c r="I46" s="190"/>
      <c r="J46" s="190"/>
      <c r="K46" s="190"/>
      <c r="L46" s="190"/>
      <c r="M46" s="190"/>
      <c r="N46" s="190"/>
      <c r="O46" s="190"/>
      <c r="P46" s="237"/>
      <c r="Z46" s="180"/>
    </row>
    <row r="47" spans="3:26" s="234" customFormat="1">
      <c r="C47" s="158"/>
      <c r="D47" s="235"/>
      <c r="E47" s="235"/>
      <c r="F47" s="235"/>
      <c r="G47" s="236"/>
      <c r="H47" s="190"/>
      <c r="I47" s="190"/>
      <c r="J47" s="190"/>
      <c r="K47" s="190"/>
      <c r="L47" s="190"/>
      <c r="M47" s="190"/>
      <c r="N47" s="190"/>
      <c r="O47" s="190"/>
      <c r="P47" s="237"/>
      <c r="Z47" s="180"/>
    </row>
    <row r="48" spans="3:26" s="234" customFormat="1">
      <c r="C48" s="158"/>
      <c r="D48" s="235"/>
      <c r="E48" s="235"/>
      <c r="F48" s="235"/>
      <c r="G48" s="236"/>
      <c r="H48" s="190"/>
      <c r="I48" s="190"/>
      <c r="J48" s="190"/>
      <c r="K48" s="190"/>
      <c r="L48" s="190"/>
      <c r="M48" s="190"/>
      <c r="N48" s="190"/>
      <c r="O48" s="190"/>
      <c r="P48" s="237"/>
      <c r="Z48" s="180"/>
    </row>
    <row r="49" spans="3:26" s="234" customFormat="1">
      <c r="C49" s="158"/>
      <c r="D49" s="235"/>
      <c r="E49" s="235"/>
      <c r="F49" s="235"/>
      <c r="G49" s="236"/>
      <c r="H49" s="190"/>
      <c r="I49" s="190"/>
      <c r="J49" s="190"/>
      <c r="K49" s="190"/>
      <c r="L49" s="190"/>
      <c r="M49" s="190"/>
      <c r="N49" s="190"/>
      <c r="O49" s="190"/>
      <c r="P49" s="237"/>
      <c r="Z49" s="180"/>
    </row>
    <row r="50" spans="3:26" s="234" customFormat="1">
      <c r="C50" s="158"/>
      <c r="D50" s="235"/>
      <c r="E50" s="235"/>
      <c r="F50" s="235"/>
      <c r="G50" s="236"/>
      <c r="H50" s="190"/>
      <c r="I50" s="190"/>
      <c r="J50" s="190"/>
      <c r="K50" s="190"/>
      <c r="L50" s="190"/>
      <c r="M50" s="190"/>
      <c r="N50" s="190"/>
      <c r="O50" s="190"/>
      <c r="P50" s="237"/>
      <c r="Z50" s="180"/>
    </row>
    <row r="51" spans="3:26" s="234" customFormat="1">
      <c r="C51" s="158"/>
      <c r="D51" s="235"/>
      <c r="E51" s="235"/>
      <c r="F51" s="235"/>
      <c r="G51" s="236"/>
      <c r="H51" s="190"/>
      <c r="I51" s="190"/>
      <c r="J51" s="190"/>
      <c r="K51" s="190"/>
      <c r="L51" s="190"/>
      <c r="M51" s="190"/>
      <c r="N51" s="190"/>
      <c r="O51" s="190"/>
      <c r="P51" s="237"/>
      <c r="Z51" s="180"/>
    </row>
    <row r="52" spans="3:26" s="234" customFormat="1">
      <c r="C52" s="158"/>
      <c r="D52" s="235"/>
      <c r="E52" s="235"/>
      <c r="F52" s="235"/>
      <c r="G52" s="236"/>
      <c r="H52" s="190"/>
      <c r="I52" s="190"/>
      <c r="J52" s="190"/>
      <c r="K52" s="190"/>
      <c r="L52" s="190"/>
      <c r="M52" s="190"/>
      <c r="N52" s="190"/>
      <c r="O52" s="190"/>
      <c r="P52" s="237"/>
      <c r="Z52" s="180"/>
    </row>
    <row r="53" spans="3:26" s="234" customFormat="1">
      <c r="C53" s="158"/>
      <c r="D53" s="235"/>
      <c r="E53" s="235"/>
      <c r="F53" s="235"/>
      <c r="G53" s="236"/>
      <c r="H53" s="190"/>
      <c r="I53" s="190"/>
      <c r="J53" s="190"/>
      <c r="K53" s="190"/>
      <c r="L53" s="190"/>
      <c r="M53" s="190"/>
      <c r="N53" s="190"/>
      <c r="O53" s="190"/>
      <c r="P53" s="237"/>
      <c r="Z53" s="180"/>
    </row>
    <row r="54" spans="3:26" s="234" customFormat="1">
      <c r="C54" s="158"/>
      <c r="D54" s="235"/>
      <c r="E54" s="235"/>
      <c r="F54" s="235"/>
      <c r="G54" s="236"/>
      <c r="H54" s="190"/>
      <c r="I54" s="190"/>
      <c r="J54" s="190"/>
      <c r="K54" s="190"/>
      <c r="L54" s="190"/>
      <c r="M54" s="190"/>
      <c r="N54" s="190"/>
      <c r="O54" s="190"/>
      <c r="P54" s="237"/>
      <c r="Z54" s="180"/>
    </row>
    <row r="55" spans="3:26" s="234" customFormat="1">
      <c r="C55" s="158"/>
      <c r="D55" s="235"/>
      <c r="E55" s="235"/>
      <c r="F55" s="235"/>
      <c r="G55" s="236"/>
      <c r="H55" s="190"/>
      <c r="I55" s="190"/>
      <c r="J55" s="190"/>
      <c r="K55" s="190"/>
      <c r="L55" s="190"/>
      <c r="M55" s="190"/>
      <c r="N55" s="190"/>
      <c r="O55" s="190"/>
      <c r="P55" s="237"/>
      <c r="Z55" s="180"/>
    </row>
    <row r="56" spans="3:26" s="234" customFormat="1">
      <c r="C56" s="158"/>
      <c r="D56" s="235"/>
      <c r="E56" s="235"/>
      <c r="F56" s="235"/>
      <c r="G56" s="236"/>
      <c r="H56" s="190"/>
      <c r="I56" s="190"/>
      <c r="J56" s="190"/>
      <c r="K56" s="190"/>
      <c r="L56" s="190"/>
      <c r="M56" s="190"/>
      <c r="N56" s="190"/>
      <c r="O56" s="190"/>
      <c r="P56" s="237"/>
      <c r="Z56" s="180"/>
    </row>
    <row r="57" spans="3:26" s="234" customFormat="1">
      <c r="C57" s="158"/>
      <c r="D57" s="235"/>
      <c r="E57" s="235"/>
      <c r="F57" s="235"/>
      <c r="G57" s="236"/>
      <c r="H57" s="190"/>
      <c r="I57" s="190"/>
      <c r="J57" s="190"/>
      <c r="K57" s="190"/>
      <c r="L57" s="190"/>
      <c r="M57" s="190"/>
      <c r="N57" s="190"/>
      <c r="O57" s="190"/>
      <c r="P57" s="237"/>
      <c r="Z57" s="180"/>
    </row>
    <row r="58" spans="3:26" s="234" customFormat="1">
      <c r="C58" s="158"/>
      <c r="D58" s="235"/>
      <c r="E58" s="235"/>
      <c r="F58" s="235"/>
      <c r="G58" s="236"/>
      <c r="H58" s="190"/>
      <c r="I58" s="190"/>
      <c r="J58" s="190"/>
      <c r="K58" s="190"/>
      <c r="L58" s="190"/>
      <c r="M58" s="190"/>
      <c r="N58" s="190"/>
      <c r="O58" s="190"/>
      <c r="P58" s="237"/>
      <c r="Z58" s="180"/>
    </row>
    <row r="59" spans="3:26" s="234" customFormat="1">
      <c r="C59" s="158"/>
      <c r="D59" s="235"/>
      <c r="E59" s="235"/>
      <c r="F59" s="235"/>
      <c r="G59" s="236"/>
      <c r="H59" s="190"/>
      <c r="I59" s="190"/>
      <c r="J59" s="190"/>
      <c r="K59" s="190"/>
      <c r="L59" s="190"/>
      <c r="M59" s="190"/>
      <c r="N59" s="190"/>
      <c r="O59" s="190"/>
      <c r="P59" s="237"/>
      <c r="Z59" s="180"/>
    </row>
    <row r="60" spans="3:26" s="234" customFormat="1">
      <c r="C60" s="158"/>
      <c r="D60" s="235"/>
      <c r="E60" s="235"/>
      <c r="F60" s="235"/>
      <c r="G60" s="236"/>
      <c r="H60" s="190"/>
      <c r="I60" s="190"/>
      <c r="J60" s="190"/>
      <c r="K60" s="190"/>
      <c r="L60" s="190"/>
      <c r="M60" s="190"/>
      <c r="N60" s="190"/>
      <c r="O60" s="190"/>
      <c r="P60" s="237"/>
      <c r="Z60" s="180"/>
    </row>
    <row r="61" spans="3:26" s="234" customFormat="1">
      <c r="C61" s="158"/>
      <c r="D61" s="235"/>
      <c r="E61" s="235"/>
      <c r="F61" s="235"/>
      <c r="G61" s="236"/>
      <c r="H61" s="190"/>
      <c r="I61" s="190"/>
      <c r="J61" s="190"/>
      <c r="K61" s="190"/>
      <c r="L61" s="190"/>
      <c r="M61" s="190"/>
      <c r="N61" s="190"/>
      <c r="O61" s="190"/>
      <c r="P61" s="237"/>
      <c r="Z61" s="180"/>
    </row>
    <row r="62" spans="3:26" s="234" customFormat="1">
      <c r="C62" s="158"/>
      <c r="D62" s="235"/>
      <c r="E62" s="235"/>
      <c r="F62" s="235"/>
      <c r="G62" s="236"/>
      <c r="H62" s="190"/>
      <c r="I62" s="190"/>
      <c r="J62" s="190"/>
      <c r="K62" s="190"/>
      <c r="L62" s="190"/>
      <c r="M62" s="190"/>
      <c r="N62" s="190"/>
      <c r="O62" s="190"/>
      <c r="P62" s="237"/>
      <c r="Z62" s="180"/>
    </row>
    <row r="63" spans="3:26" s="234" customFormat="1">
      <c r="C63" s="158"/>
      <c r="D63" s="235"/>
      <c r="E63" s="235"/>
      <c r="F63" s="235"/>
      <c r="G63" s="236"/>
      <c r="H63" s="190"/>
      <c r="I63" s="190"/>
      <c r="J63" s="190"/>
      <c r="K63" s="190"/>
      <c r="L63" s="190"/>
      <c r="M63" s="190"/>
      <c r="N63" s="190"/>
      <c r="O63" s="190"/>
      <c r="P63" s="237"/>
      <c r="Z63" s="180"/>
    </row>
    <row r="64" spans="3:26" s="234" customFormat="1">
      <c r="C64" s="158"/>
      <c r="D64" s="235"/>
      <c r="E64" s="235"/>
      <c r="F64" s="235"/>
      <c r="G64" s="236"/>
      <c r="H64" s="190"/>
      <c r="I64" s="190"/>
      <c r="J64" s="190"/>
      <c r="K64" s="190"/>
      <c r="L64" s="190"/>
      <c r="M64" s="190"/>
      <c r="N64" s="190"/>
      <c r="O64" s="190"/>
      <c r="P64" s="237"/>
      <c r="Z64" s="180"/>
    </row>
    <row r="65" spans="3:26" s="234" customFormat="1">
      <c r="C65" s="158"/>
      <c r="D65" s="235"/>
      <c r="E65" s="235"/>
      <c r="F65" s="235"/>
      <c r="G65" s="236"/>
      <c r="H65" s="190"/>
      <c r="I65" s="190"/>
      <c r="J65" s="190"/>
      <c r="K65" s="190"/>
      <c r="L65" s="190"/>
      <c r="M65" s="190"/>
      <c r="N65" s="190"/>
      <c r="O65" s="190"/>
      <c r="P65" s="237"/>
      <c r="Z65" s="180"/>
    </row>
    <row r="66" spans="3:26" s="234" customFormat="1">
      <c r="C66" s="158"/>
      <c r="D66" s="235"/>
      <c r="E66" s="235"/>
      <c r="F66" s="235"/>
      <c r="G66" s="236"/>
      <c r="H66" s="190"/>
      <c r="I66" s="190"/>
      <c r="J66" s="190"/>
      <c r="K66" s="190"/>
      <c r="L66" s="190"/>
      <c r="M66" s="190"/>
      <c r="N66" s="190"/>
      <c r="O66" s="190"/>
      <c r="P66" s="237"/>
      <c r="Z66" s="180"/>
    </row>
    <row r="67" spans="3:26" s="234" customFormat="1">
      <c r="C67" s="158"/>
      <c r="D67" s="235"/>
      <c r="E67" s="235"/>
      <c r="F67" s="235"/>
      <c r="G67" s="236"/>
      <c r="H67" s="190"/>
      <c r="I67" s="190"/>
      <c r="J67" s="190"/>
      <c r="K67" s="190"/>
      <c r="L67" s="190"/>
      <c r="M67" s="190"/>
      <c r="N67" s="190"/>
      <c r="O67" s="190"/>
      <c r="P67" s="237"/>
      <c r="Z67" s="180"/>
    </row>
    <row r="68" spans="3:26" s="234" customFormat="1">
      <c r="C68" s="158"/>
      <c r="D68" s="235"/>
      <c r="E68" s="235"/>
      <c r="F68" s="235"/>
      <c r="G68" s="236"/>
      <c r="H68" s="190"/>
      <c r="I68" s="190"/>
      <c r="J68" s="190"/>
      <c r="K68" s="190"/>
      <c r="L68" s="190"/>
      <c r="M68" s="190"/>
      <c r="N68" s="190"/>
      <c r="O68" s="190"/>
      <c r="P68" s="237"/>
      <c r="Z68" s="180"/>
    </row>
    <row r="69" spans="3:26" s="234" customFormat="1">
      <c r="C69" s="158"/>
      <c r="D69" s="235"/>
      <c r="E69" s="235"/>
      <c r="F69" s="235"/>
      <c r="G69" s="236"/>
      <c r="H69" s="190"/>
      <c r="I69" s="190"/>
      <c r="J69" s="190"/>
      <c r="K69" s="190"/>
      <c r="L69" s="190"/>
      <c r="M69" s="190"/>
      <c r="N69" s="190"/>
      <c r="O69" s="190"/>
      <c r="P69" s="237"/>
      <c r="Z69" s="180"/>
    </row>
    <row r="70" spans="3:26" s="234" customFormat="1">
      <c r="C70" s="158"/>
      <c r="D70" s="235"/>
      <c r="E70" s="235"/>
      <c r="F70" s="235"/>
      <c r="G70" s="236"/>
      <c r="H70" s="190"/>
      <c r="I70" s="190"/>
      <c r="J70" s="190"/>
      <c r="K70" s="190"/>
      <c r="L70" s="190"/>
      <c r="M70" s="190"/>
      <c r="N70" s="190"/>
      <c r="O70" s="190"/>
      <c r="P70" s="237"/>
      <c r="Z70" s="180"/>
    </row>
    <row r="71" spans="3:26" s="234" customFormat="1">
      <c r="C71" s="158"/>
      <c r="D71" s="235"/>
      <c r="E71" s="235"/>
      <c r="F71" s="235"/>
      <c r="G71" s="236"/>
      <c r="H71" s="190"/>
      <c r="I71" s="190"/>
      <c r="J71" s="190"/>
      <c r="K71" s="190"/>
      <c r="L71" s="190"/>
      <c r="M71" s="190"/>
      <c r="N71" s="190"/>
      <c r="O71" s="190"/>
      <c r="P71" s="237"/>
      <c r="Z71" s="180"/>
    </row>
  </sheetData>
  <sheetProtection selectLockedCells="1"/>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enableFormatConditionsCalculation="0">
    <tabColor indexed="12"/>
  </sheetPr>
  <dimension ref="B1:AA71"/>
  <sheetViews>
    <sheetView showZeros="0" workbookViewId="0">
      <selection activeCell="J21" sqref="J21"/>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62" t="s">
        <v>233</v>
      </c>
    </row>
    <row r="2" spans="2:27">
      <c r="C2" s="162"/>
      <c r="G2" s="179"/>
    </row>
    <row r="3" spans="2:27" s="177" customFormat="1" ht="13.5" thickBot="1">
      <c r="C3" s="215" t="s">
        <v>234</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141</v>
      </c>
      <c r="C4" s="217"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1" si="2">SUM(D4:Y4)</f>
        <v>370</v>
      </c>
      <c r="AA4" s="158" t="str">
        <f t="shared" ref="AA4:AA18" si="3">C4</f>
        <v>Evans</v>
      </c>
    </row>
    <row r="5" spans="2:27">
      <c r="B5" s="216" t="s">
        <v>145</v>
      </c>
      <c r="C5" s="217" t="s">
        <v>79</v>
      </c>
      <c r="D5" s="159">
        <f t="shared" si="0"/>
        <v>50</v>
      </c>
      <c r="E5" s="159">
        <f t="shared" si="0"/>
        <v>45</v>
      </c>
      <c r="F5" s="159">
        <f t="shared" si="0"/>
        <v>13</v>
      </c>
      <c r="G5" s="159">
        <f t="shared" si="0"/>
        <v>38</v>
      </c>
      <c r="H5" s="159">
        <f t="shared" si="0"/>
        <v>10</v>
      </c>
      <c r="I5" s="159">
        <f t="shared" si="0"/>
        <v>10</v>
      </c>
      <c r="J5" s="159">
        <f t="shared" si="0"/>
        <v>10</v>
      </c>
      <c r="K5" s="159">
        <f t="shared" si="0"/>
        <v>6</v>
      </c>
      <c r="L5" s="159">
        <f t="shared" si="0"/>
        <v>0</v>
      </c>
      <c r="M5" s="159">
        <f t="shared" si="0"/>
        <v>26</v>
      </c>
      <c r="N5" s="159">
        <f t="shared" si="1"/>
        <v>0</v>
      </c>
      <c r="O5" s="159">
        <f t="shared" si="1"/>
        <v>0</v>
      </c>
      <c r="P5" s="159">
        <f t="shared" si="1"/>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64">
        <f t="shared" si="2"/>
        <v>208</v>
      </c>
      <c r="AA5" s="158" t="str">
        <f t="shared" si="3"/>
        <v>Cancellara</v>
      </c>
    </row>
    <row r="6" spans="2:27">
      <c r="B6" s="216" t="s">
        <v>157</v>
      </c>
      <c r="C6" s="217" t="s">
        <v>68</v>
      </c>
      <c r="D6" s="159">
        <f t="shared" si="0"/>
        <v>0</v>
      </c>
      <c r="E6" s="159">
        <f t="shared" si="0"/>
        <v>0</v>
      </c>
      <c r="F6" s="159">
        <f t="shared" si="0"/>
        <v>0</v>
      </c>
      <c r="G6" s="159">
        <f t="shared" si="0"/>
        <v>18</v>
      </c>
      <c r="H6" s="159">
        <f t="shared" si="0"/>
        <v>0</v>
      </c>
      <c r="I6" s="159">
        <f t="shared" si="0"/>
        <v>9</v>
      </c>
      <c r="J6" s="159">
        <f t="shared" si="0"/>
        <v>7</v>
      </c>
      <c r="K6" s="159">
        <f t="shared" si="0"/>
        <v>10</v>
      </c>
      <c r="L6" s="159">
        <f t="shared" si="0"/>
        <v>0</v>
      </c>
      <c r="M6" s="159">
        <f t="shared" si="0"/>
        <v>0</v>
      </c>
      <c r="N6" s="159">
        <f t="shared" si="1"/>
        <v>0</v>
      </c>
      <c r="O6" s="159">
        <f t="shared" si="1"/>
        <v>0</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44</v>
      </c>
      <c r="AA6" s="158" t="str">
        <f t="shared" si="3"/>
        <v>Sanchez</v>
      </c>
    </row>
    <row r="7" spans="2:27">
      <c r="B7" s="216" t="s">
        <v>129</v>
      </c>
      <c r="C7" s="217" t="s">
        <v>130</v>
      </c>
      <c r="D7" s="159">
        <f t="shared" si="0"/>
        <v>0</v>
      </c>
      <c r="E7" s="159">
        <f t="shared" si="0"/>
        <v>43</v>
      </c>
      <c r="F7" s="159">
        <f t="shared" si="0"/>
        <v>27</v>
      </c>
      <c r="G7" s="159">
        <f t="shared" si="0"/>
        <v>43</v>
      </c>
      <c r="H7" s="159">
        <f t="shared" si="0"/>
        <v>30</v>
      </c>
      <c r="I7" s="159">
        <f t="shared" si="0"/>
        <v>8</v>
      </c>
      <c r="J7" s="159">
        <f t="shared" si="0"/>
        <v>46</v>
      </c>
      <c r="K7" s="159">
        <f t="shared" si="0"/>
        <v>5</v>
      </c>
      <c r="L7" s="159">
        <f t="shared" si="0"/>
        <v>5</v>
      </c>
      <c r="M7" s="159">
        <f t="shared" si="0"/>
        <v>5</v>
      </c>
      <c r="N7" s="159">
        <f t="shared" si="1"/>
        <v>5</v>
      </c>
      <c r="O7" s="159">
        <f t="shared" si="1"/>
        <v>5</v>
      </c>
      <c r="P7" s="159">
        <f t="shared" si="1"/>
        <v>25</v>
      </c>
      <c r="Q7" s="159">
        <f t="shared" si="1"/>
        <v>35</v>
      </c>
      <c r="R7" s="159">
        <f t="shared" si="1"/>
        <v>35</v>
      </c>
      <c r="S7" s="159">
        <f t="shared" si="1"/>
        <v>22</v>
      </c>
      <c r="T7" s="159">
        <f t="shared" si="1"/>
        <v>5</v>
      </c>
      <c r="U7" s="159">
        <f t="shared" si="1"/>
        <v>5</v>
      </c>
      <c r="V7" s="159">
        <f t="shared" si="1"/>
        <v>31</v>
      </c>
      <c r="W7" s="159">
        <f t="shared" si="1"/>
        <v>5</v>
      </c>
      <c r="X7" s="159">
        <f t="shared" si="1"/>
        <v>35</v>
      </c>
      <c r="Y7" s="159">
        <f t="shared" si="1"/>
        <v>10</v>
      </c>
      <c r="Z7" s="164">
        <f t="shared" si="2"/>
        <v>430</v>
      </c>
      <c r="AA7" s="158" t="str">
        <f t="shared" si="3"/>
        <v>Sagan</v>
      </c>
    </row>
    <row r="8" spans="2:27">
      <c r="B8" s="216" t="s">
        <v>133</v>
      </c>
      <c r="C8" s="217" t="s">
        <v>76</v>
      </c>
      <c r="D8" s="159">
        <f t="shared" si="0"/>
        <v>0</v>
      </c>
      <c r="E8" s="159">
        <f t="shared" si="0"/>
        <v>0</v>
      </c>
      <c r="F8" s="159">
        <f t="shared" si="0"/>
        <v>16</v>
      </c>
      <c r="G8" s="159">
        <f t="shared" si="0"/>
        <v>0</v>
      </c>
      <c r="H8" s="159">
        <f t="shared" si="0"/>
        <v>0</v>
      </c>
      <c r="I8" s="159">
        <f t="shared" si="0"/>
        <v>0</v>
      </c>
      <c r="J8" s="159">
        <f t="shared" si="0"/>
        <v>0</v>
      </c>
      <c r="K8" s="159">
        <f t="shared" si="0"/>
        <v>0</v>
      </c>
      <c r="L8" s="159">
        <f t="shared" si="0"/>
        <v>0</v>
      </c>
      <c r="M8" s="159">
        <f t="shared" si="0"/>
        <v>0</v>
      </c>
      <c r="N8" s="159">
        <f t="shared" si="1"/>
        <v>0</v>
      </c>
      <c r="O8" s="159">
        <f t="shared" si="1"/>
        <v>0</v>
      </c>
      <c r="P8" s="159">
        <f t="shared" si="1"/>
        <v>0</v>
      </c>
      <c r="Q8" s="159">
        <f t="shared" si="1"/>
        <v>0</v>
      </c>
      <c r="R8" s="159">
        <f t="shared" si="1"/>
        <v>0</v>
      </c>
      <c r="S8" s="159">
        <f t="shared" si="1"/>
        <v>18</v>
      </c>
      <c r="T8" s="159">
        <f t="shared" si="1"/>
        <v>0</v>
      </c>
      <c r="U8" s="159">
        <f t="shared" si="1"/>
        <v>0</v>
      </c>
      <c r="V8" s="159">
        <f t="shared" si="1"/>
        <v>20</v>
      </c>
      <c r="W8" s="159">
        <f t="shared" si="1"/>
        <v>0</v>
      </c>
      <c r="X8" s="159">
        <f t="shared" si="1"/>
        <v>15</v>
      </c>
      <c r="Y8" s="159">
        <f t="shared" si="1"/>
        <v>0</v>
      </c>
      <c r="Z8" s="164">
        <f t="shared" si="2"/>
        <v>69</v>
      </c>
      <c r="AA8" s="158" t="str">
        <f t="shared" si="3"/>
        <v>Farrar</v>
      </c>
    </row>
    <row r="9" spans="2:27">
      <c r="B9" s="216" t="s">
        <v>71</v>
      </c>
      <c r="C9" s="217" t="s">
        <v>72</v>
      </c>
      <c r="D9" s="159">
        <f t="shared" si="0"/>
        <v>43</v>
      </c>
      <c r="E9" s="159">
        <f t="shared" si="0"/>
        <v>19</v>
      </c>
      <c r="F9" s="159">
        <f t="shared" si="0"/>
        <v>9</v>
      </c>
      <c r="G9" s="159">
        <f t="shared" si="0"/>
        <v>9</v>
      </c>
      <c r="H9" s="159">
        <f t="shared" si="0"/>
        <v>9</v>
      </c>
      <c r="I9" s="159">
        <f t="shared" si="0"/>
        <v>17</v>
      </c>
      <c r="J9" s="159">
        <f t="shared" si="0"/>
        <v>9</v>
      </c>
      <c r="K9" s="159">
        <f t="shared" si="0"/>
        <v>39</v>
      </c>
      <c r="L9" s="159">
        <f t="shared" si="0"/>
        <v>35</v>
      </c>
      <c r="M9" s="159">
        <f t="shared" si="0"/>
        <v>46</v>
      </c>
      <c r="N9" s="159">
        <f t="shared" si="1"/>
        <v>23</v>
      </c>
      <c r="O9" s="159">
        <f t="shared" si="1"/>
        <v>30</v>
      </c>
      <c r="P9" s="159">
        <f t="shared" si="1"/>
        <v>24</v>
      </c>
      <c r="Q9" s="159">
        <f t="shared" si="1"/>
        <v>24</v>
      </c>
      <c r="R9" s="159">
        <f t="shared" si="1"/>
        <v>21</v>
      </c>
      <c r="S9" s="159">
        <f t="shared" si="1"/>
        <v>10</v>
      </c>
      <c r="T9" s="159">
        <f t="shared" si="1"/>
        <v>24</v>
      </c>
      <c r="U9" s="159">
        <f t="shared" si="1"/>
        <v>36</v>
      </c>
      <c r="V9" s="159">
        <f t="shared" si="1"/>
        <v>17</v>
      </c>
      <c r="W9" s="159">
        <f t="shared" si="1"/>
        <v>45</v>
      </c>
      <c r="X9" s="159">
        <f t="shared" si="1"/>
        <v>10</v>
      </c>
      <c r="Y9" s="159">
        <f t="shared" si="1"/>
        <v>70</v>
      </c>
      <c r="Z9" s="164">
        <f t="shared" si="2"/>
        <v>569</v>
      </c>
      <c r="AA9" s="158" t="str">
        <f t="shared" si="3"/>
        <v>Wiggins</v>
      </c>
    </row>
    <row r="10" spans="2:27">
      <c r="B10" s="216" t="s">
        <v>219</v>
      </c>
      <c r="C10" s="217" t="s">
        <v>220</v>
      </c>
      <c r="D10" s="159">
        <f t="shared" si="0"/>
        <v>0</v>
      </c>
      <c r="E10" s="159">
        <f t="shared" si="0"/>
        <v>0</v>
      </c>
      <c r="F10" s="159">
        <f t="shared" si="0"/>
        <v>0</v>
      </c>
      <c r="G10" s="159">
        <f t="shared" si="0"/>
        <v>11</v>
      </c>
      <c r="H10" s="159">
        <f t="shared" si="0"/>
        <v>0</v>
      </c>
      <c r="I10" s="159">
        <f t="shared" si="0"/>
        <v>0</v>
      </c>
      <c r="J10" s="159">
        <f t="shared" si="0"/>
        <v>0</v>
      </c>
      <c r="K10" s="159">
        <f t="shared" si="0"/>
        <v>0</v>
      </c>
      <c r="L10" s="159">
        <f t="shared" si="0"/>
        <v>0</v>
      </c>
      <c r="M10" s="159">
        <f t="shared" si="0"/>
        <v>0</v>
      </c>
      <c r="N10" s="159">
        <f t="shared" si="1"/>
        <v>0</v>
      </c>
      <c r="O10" s="159">
        <f t="shared" si="1"/>
        <v>0</v>
      </c>
      <c r="P10" s="159">
        <f t="shared" si="1"/>
        <v>6</v>
      </c>
      <c r="Q10" s="159">
        <f t="shared" si="1"/>
        <v>0</v>
      </c>
      <c r="R10" s="159">
        <f t="shared" si="1"/>
        <v>0</v>
      </c>
      <c r="S10" s="159">
        <f t="shared" si="1"/>
        <v>0</v>
      </c>
      <c r="T10" s="159">
        <f t="shared" si="1"/>
        <v>0</v>
      </c>
      <c r="U10" s="159">
        <f t="shared" si="1"/>
        <v>13</v>
      </c>
      <c r="V10" s="159">
        <f t="shared" si="1"/>
        <v>0</v>
      </c>
      <c r="W10" s="159">
        <f t="shared" si="1"/>
        <v>0</v>
      </c>
      <c r="X10" s="159">
        <f t="shared" si="1"/>
        <v>0</v>
      </c>
      <c r="Y10" s="159">
        <f t="shared" si="1"/>
        <v>0</v>
      </c>
      <c r="Z10" s="164">
        <f t="shared" si="2"/>
        <v>30</v>
      </c>
      <c r="AA10" s="158" t="str">
        <f t="shared" si="3"/>
        <v>Vanendert</v>
      </c>
    </row>
    <row r="11" spans="2:27">
      <c r="B11" s="216" t="s">
        <v>160</v>
      </c>
      <c r="C11" s="217" t="s">
        <v>235</v>
      </c>
      <c r="D11" s="159">
        <f t="shared" si="0"/>
        <v>0</v>
      </c>
      <c r="E11" s="159">
        <f t="shared" si="0"/>
        <v>15</v>
      </c>
      <c r="F11" s="159">
        <f t="shared" si="0"/>
        <v>0</v>
      </c>
      <c r="G11" s="159">
        <f t="shared" si="0"/>
        <v>0</v>
      </c>
      <c r="H11" s="159">
        <f t="shared" si="0"/>
        <v>0</v>
      </c>
      <c r="I11" s="159">
        <f t="shared" si="0"/>
        <v>0</v>
      </c>
      <c r="J11" s="159">
        <f t="shared" si="0"/>
        <v>0</v>
      </c>
      <c r="K11" s="159">
        <f t="shared" si="0"/>
        <v>0</v>
      </c>
      <c r="L11" s="159">
        <f t="shared" si="0"/>
        <v>23</v>
      </c>
      <c r="M11" s="159">
        <f t="shared" si="0"/>
        <v>2</v>
      </c>
      <c r="N11" s="159">
        <f t="shared" si="1"/>
        <v>20</v>
      </c>
      <c r="O11" s="159">
        <f t="shared" si="1"/>
        <v>30</v>
      </c>
      <c r="P11" s="159">
        <f t="shared" si="1"/>
        <v>14</v>
      </c>
      <c r="Q11" s="159">
        <f t="shared" si="1"/>
        <v>15</v>
      </c>
      <c r="R11" s="159">
        <f t="shared" si="1"/>
        <v>6</v>
      </c>
      <c r="S11" s="159">
        <f t="shared" si="1"/>
        <v>6</v>
      </c>
      <c r="T11" s="159">
        <f t="shared" si="1"/>
        <v>17</v>
      </c>
      <c r="U11" s="159">
        <f t="shared" si="1"/>
        <v>27</v>
      </c>
      <c r="V11" s="159">
        <f t="shared" si="1"/>
        <v>7</v>
      </c>
      <c r="W11" s="159">
        <f t="shared" si="1"/>
        <v>7</v>
      </c>
      <c r="X11" s="159">
        <f t="shared" si="1"/>
        <v>7</v>
      </c>
      <c r="Y11" s="159">
        <f t="shared" si="1"/>
        <v>48</v>
      </c>
      <c r="Z11" s="164">
        <f t="shared" si="2"/>
        <v>244</v>
      </c>
      <c r="AA11" s="158" t="str">
        <f t="shared" si="3"/>
        <v>Van den broeck</v>
      </c>
    </row>
    <row r="12" spans="2:27">
      <c r="B12" s="216" t="s">
        <v>96</v>
      </c>
      <c r="C12" s="217" t="s">
        <v>97</v>
      </c>
      <c r="D12" s="159">
        <f t="shared" si="0"/>
        <v>0</v>
      </c>
      <c r="E12" s="159">
        <f t="shared" si="0"/>
        <v>22</v>
      </c>
      <c r="F12" s="159">
        <f t="shared" si="0"/>
        <v>0</v>
      </c>
      <c r="G12" s="159">
        <f t="shared" si="0"/>
        <v>17</v>
      </c>
      <c r="H12" s="159">
        <f t="shared" si="0"/>
        <v>0</v>
      </c>
      <c r="I12" s="159">
        <f t="shared" si="0"/>
        <v>15</v>
      </c>
      <c r="J12" s="159">
        <f t="shared" si="0"/>
        <v>0</v>
      </c>
      <c r="K12" s="159">
        <f t="shared" si="0"/>
        <v>0</v>
      </c>
      <c r="L12" s="159">
        <f t="shared" si="0"/>
        <v>0</v>
      </c>
      <c r="M12" s="159">
        <f t="shared" si="0"/>
        <v>0</v>
      </c>
      <c r="N12" s="159">
        <f t="shared" si="1"/>
        <v>0</v>
      </c>
      <c r="O12" s="159">
        <f t="shared" si="1"/>
        <v>0</v>
      </c>
      <c r="P12" s="159">
        <f t="shared" si="1"/>
        <v>0</v>
      </c>
      <c r="Q12" s="159">
        <f t="shared" si="1"/>
        <v>0</v>
      </c>
      <c r="R12" s="159">
        <f t="shared" si="1"/>
        <v>0</v>
      </c>
      <c r="S12" s="159">
        <f t="shared" si="1"/>
        <v>0</v>
      </c>
      <c r="T12" s="159">
        <f t="shared" si="1"/>
        <v>0</v>
      </c>
      <c r="U12" s="159">
        <f t="shared" si="1"/>
        <v>0</v>
      </c>
      <c r="V12" s="159">
        <f t="shared" si="1"/>
        <v>0</v>
      </c>
      <c r="W12" s="159">
        <f t="shared" si="1"/>
        <v>0</v>
      </c>
      <c r="X12" s="159">
        <f t="shared" si="1"/>
        <v>0</v>
      </c>
      <c r="Y12" s="159">
        <f t="shared" si="1"/>
        <v>0</v>
      </c>
      <c r="Z12" s="164">
        <f t="shared" si="2"/>
        <v>54</v>
      </c>
      <c r="AA12" s="158" t="str">
        <f t="shared" si="3"/>
        <v>Mollema</v>
      </c>
    </row>
    <row r="13" spans="2:27">
      <c r="B13" s="216" t="s">
        <v>134</v>
      </c>
      <c r="C13" s="217" t="s">
        <v>87</v>
      </c>
      <c r="D13" s="159">
        <f t="shared" si="0"/>
        <v>0</v>
      </c>
      <c r="E13" s="159">
        <f t="shared" si="0"/>
        <v>0</v>
      </c>
      <c r="F13" s="159">
        <f t="shared" si="0"/>
        <v>15</v>
      </c>
      <c r="G13" s="159">
        <f t="shared" si="0"/>
        <v>0</v>
      </c>
      <c r="H13" s="159">
        <f t="shared" si="0"/>
        <v>0</v>
      </c>
      <c r="I13" s="159">
        <f t="shared" si="0"/>
        <v>0</v>
      </c>
      <c r="J13" s="159">
        <f t="shared" si="0"/>
        <v>0</v>
      </c>
      <c r="K13" s="159">
        <f t="shared" si="0"/>
        <v>0</v>
      </c>
      <c r="L13" s="159">
        <f t="shared" si="0"/>
        <v>0</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0</v>
      </c>
      <c r="X13" s="159">
        <f t="shared" si="1"/>
        <v>0</v>
      </c>
      <c r="Y13" s="159">
        <f t="shared" si="1"/>
        <v>0</v>
      </c>
      <c r="Z13" s="164">
        <f t="shared" si="2"/>
        <v>15</v>
      </c>
      <c r="AA13" s="158" t="str">
        <f t="shared" si="3"/>
        <v>Rojas</v>
      </c>
    </row>
    <row r="14" spans="2:27">
      <c r="B14" s="216" t="s">
        <v>186</v>
      </c>
      <c r="C14" s="217" t="s">
        <v>143</v>
      </c>
      <c r="D14" s="159">
        <f t="shared" ref="D14:M20" si="4">INDEX(scorematrix,MATCH($C14,renners,0),MATCH(D$3,etappes,0))</f>
        <v>0</v>
      </c>
      <c r="E14" s="159">
        <f t="shared" si="4"/>
        <v>20</v>
      </c>
      <c r="F14" s="159">
        <f t="shared" si="4"/>
        <v>0</v>
      </c>
      <c r="G14" s="159">
        <f t="shared" si="4"/>
        <v>0</v>
      </c>
      <c r="H14" s="159">
        <f t="shared" si="4"/>
        <v>0</v>
      </c>
      <c r="I14" s="159">
        <f t="shared" si="4"/>
        <v>0</v>
      </c>
      <c r="J14" s="159">
        <f t="shared" si="4"/>
        <v>0</v>
      </c>
      <c r="K14" s="159">
        <f t="shared" si="4"/>
        <v>0</v>
      </c>
      <c r="L14" s="159">
        <f t="shared" si="4"/>
        <v>0</v>
      </c>
      <c r="M14" s="159">
        <f t="shared" si="4"/>
        <v>0</v>
      </c>
      <c r="N14" s="159">
        <f t="shared" ref="N14:Y20" si="5">INDEX(scorematrix,MATCH($C14,renners,0),MATCH(N$3,etappes,0))</f>
        <v>9</v>
      </c>
      <c r="O14" s="159">
        <f t="shared" si="5"/>
        <v>0</v>
      </c>
      <c r="P14" s="159">
        <f t="shared" si="5"/>
        <v>0</v>
      </c>
      <c r="Q14" s="159">
        <f t="shared" si="5"/>
        <v>0</v>
      </c>
      <c r="R14" s="159">
        <f t="shared" si="5"/>
        <v>0</v>
      </c>
      <c r="S14" s="159">
        <f t="shared" si="5"/>
        <v>0</v>
      </c>
      <c r="T14" s="159">
        <f t="shared" si="5"/>
        <v>8</v>
      </c>
      <c r="U14" s="159">
        <f t="shared" si="5"/>
        <v>36</v>
      </c>
      <c r="V14" s="159">
        <f t="shared" si="5"/>
        <v>1</v>
      </c>
      <c r="W14" s="159">
        <f t="shared" si="5"/>
        <v>1</v>
      </c>
      <c r="X14" s="159">
        <f t="shared" si="5"/>
        <v>1</v>
      </c>
      <c r="Y14" s="159">
        <f t="shared" si="5"/>
        <v>13</v>
      </c>
      <c r="Z14" s="164">
        <f t="shared" si="2"/>
        <v>89</v>
      </c>
      <c r="AA14" s="158" t="str">
        <f t="shared" si="3"/>
        <v>Valverde</v>
      </c>
    </row>
    <row r="15" spans="2:27">
      <c r="B15" s="216" t="s">
        <v>129</v>
      </c>
      <c r="C15" s="217" t="s">
        <v>236</v>
      </c>
      <c r="D15" s="159">
        <f t="shared" si="4"/>
        <v>14</v>
      </c>
      <c r="E15" s="159">
        <f t="shared" si="4"/>
        <v>0</v>
      </c>
      <c r="F15" s="159">
        <f t="shared" si="4"/>
        <v>13</v>
      </c>
      <c r="G15" s="159">
        <f t="shared" si="4"/>
        <v>26</v>
      </c>
      <c r="H15" s="159">
        <f t="shared" si="4"/>
        <v>12</v>
      </c>
      <c r="I15" s="159">
        <f t="shared" si="4"/>
        <v>0</v>
      </c>
      <c r="J15" s="159">
        <f t="shared" si="4"/>
        <v>0</v>
      </c>
      <c r="K15" s="159">
        <f t="shared" si="4"/>
        <v>0</v>
      </c>
      <c r="L15" s="159">
        <f t="shared" si="4"/>
        <v>0</v>
      </c>
      <c r="M15" s="159">
        <f t="shared" si="4"/>
        <v>19</v>
      </c>
      <c r="N15" s="159">
        <f t="shared" si="5"/>
        <v>0</v>
      </c>
      <c r="O15" s="159">
        <f t="shared" si="5"/>
        <v>0</v>
      </c>
      <c r="P15" s="159">
        <f t="shared" si="5"/>
        <v>0</v>
      </c>
      <c r="Q15" s="159">
        <f t="shared" si="5"/>
        <v>17</v>
      </c>
      <c r="R15" s="159">
        <f t="shared" si="5"/>
        <v>0</v>
      </c>
      <c r="S15" s="159">
        <f t="shared" si="5"/>
        <v>0</v>
      </c>
      <c r="T15" s="159">
        <f t="shared" si="5"/>
        <v>0</v>
      </c>
      <c r="U15" s="159">
        <f t="shared" si="5"/>
        <v>0</v>
      </c>
      <c r="V15" s="159">
        <f t="shared" si="5"/>
        <v>0</v>
      </c>
      <c r="W15" s="159">
        <f t="shared" si="5"/>
        <v>24</v>
      </c>
      <c r="X15" s="159">
        <f t="shared" si="5"/>
        <v>0</v>
      </c>
      <c r="Y15" s="159">
        <f t="shared" si="5"/>
        <v>0</v>
      </c>
      <c r="Z15" s="164">
        <f t="shared" si="2"/>
        <v>125</v>
      </c>
      <c r="AA15" s="158" t="str">
        <f t="shared" si="3"/>
        <v>Velits</v>
      </c>
    </row>
    <row r="16" spans="2:27">
      <c r="B16" s="216" t="s">
        <v>131</v>
      </c>
      <c r="C16" s="217" t="s">
        <v>132</v>
      </c>
      <c r="D16" s="159">
        <f t="shared" si="4"/>
        <v>0</v>
      </c>
      <c r="E16" s="159">
        <f t="shared" si="4"/>
        <v>0</v>
      </c>
      <c r="F16" s="159">
        <f t="shared" si="4"/>
        <v>0</v>
      </c>
      <c r="G16" s="159">
        <f t="shared" si="4"/>
        <v>0</v>
      </c>
      <c r="H16" s="159">
        <f t="shared" si="4"/>
        <v>0</v>
      </c>
      <c r="I16" s="159">
        <f t="shared" si="4"/>
        <v>0</v>
      </c>
      <c r="J16" s="159">
        <f t="shared" si="4"/>
        <v>0</v>
      </c>
      <c r="K16" s="159">
        <f t="shared" si="4"/>
        <v>0</v>
      </c>
      <c r="L16" s="159">
        <f t="shared" si="4"/>
        <v>0</v>
      </c>
      <c r="M16" s="159">
        <f t="shared" si="4"/>
        <v>0</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0</v>
      </c>
      <c r="AA16" s="158" t="str">
        <f t="shared" si="3"/>
        <v>Kittel</v>
      </c>
    </row>
    <row r="17" spans="2:27" s="218" customFormat="1">
      <c r="B17" s="216" t="s">
        <v>150</v>
      </c>
      <c r="C17" s="217" t="s">
        <v>75</v>
      </c>
      <c r="D17" s="159">
        <f t="shared" si="4"/>
        <v>0</v>
      </c>
      <c r="E17" s="159">
        <f t="shared" si="4"/>
        <v>0</v>
      </c>
      <c r="F17" s="159">
        <f t="shared" si="4"/>
        <v>39</v>
      </c>
      <c r="G17" s="159">
        <f t="shared" si="4"/>
        <v>3</v>
      </c>
      <c r="H17" s="159">
        <f t="shared" si="4"/>
        <v>2</v>
      </c>
      <c r="I17" s="159">
        <f t="shared" si="4"/>
        <v>24</v>
      </c>
      <c r="J17" s="159">
        <f t="shared" si="4"/>
        <v>2</v>
      </c>
      <c r="K17" s="159">
        <f t="shared" si="4"/>
        <v>2</v>
      </c>
      <c r="L17" s="159">
        <f t="shared" si="4"/>
        <v>2</v>
      </c>
      <c r="M17" s="159">
        <f t="shared" si="4"/>
        <v>2</v>
      </c>
      <c r="N17" s="159">
        <f t="shared" si="5"/>
        <v>2</v>
      </c>
      <c r="O17" s="159">
        <f t="shared" si="5"/>
        <v>2</v>
      </c>
      <c r="P17" s="159">
        <f t="shared" si="5"/>
        <v>2</v>
      </c>
      <c r="Q17" s="159">
        <f t="shared" si="5"/>
        <v>2</v>
      </c>
      <c r="R17" s="159">
        <f t="shared" si="5"/>
        <v>2</v>
      </c>
      <c r="S17" s="159">
        <f t="shared" si="5"/>
        <v>2</v>
      </c>
      <c r="T17" s="159">
        <f t="shared" si="5"/>
        <v>2</v>
      </c>
      <c r="U17" s="159">
        <f t="shared" si="5"/>
        <v>2</v>
      </c>
      <c r="V17" s="159">
        <f t="shared" si="5"/>
        <v>37</v>
      </c>
      <c r="W17" s="159">
        <f t="shared" si="5"/>
        <v>2</v>
      </c>
      <c r="X17" s="159">
        <f t="shared" si="5"/>
        <v>37</v>
      </c>
      <c r="Y17" s="159">
        <f t="shared" si="5"/>
        <v>3</v>
      </c>
      <c r="Z17" s="164">
        <f t="shared" si="2"/>
        <v>171</v>
      </c>
      <c r="AA17" s="158" t="str">
        <f t="shared" si="3"/>
        <v>Cavendish</v>
      </c>
    </row>
    <row r="18" spans="2:27">
      <c r="B18" s="216" t="s">
        <v>144</v>
      </c>
      <c r="C18" s="217" t="s">
        <v>82</v>
      </c>
      <c r="D18" s="159">
        <f t="shared" si="4"/>
        <v>0</v>
      </c>
      <c r="E18" s="159">
        <f t="shared" si="4"/>
        <v>0</v>
      </c>
      <c r="F18" s="159">
        <f t="shared" si="4"/>
        <v>0</v>
      </c>
      <c r="G18" s="159">
        <f t="shared" si="4"/>
        <v>0</v>
      </c>
      <c r="H18" s="159">
        <f t="shared" si="4"/>
        <v>0</v>
      </c>
      <c r="I18" s="159">
        <f t="shared" si="4"/>
        <v>0</v>
      </c>
      <c r="J18" s="159">
        <f t="shared" si="4"/>
        <v>0</v>
      </c>
      <c r="K18" s="159">
        <f t="shared" si="4"/>
        <v>0</v>
      </c>
      <c r="L18" s="159">
        <f t="shared" si="4"/>
        <v>0</v>
      </c>
      <c r="M18" s="159">
        <f t="shared" si="4"/>
        <v>14</v>
      </c>
      <c r="N18" s="159">
        <f t="shared" si="5"/>
        <v>0</v>
      </c>
      <c r="O18" s="159">
        <f t="shared" si="5"/>
        <v>0</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14</v>
      </c>
      <c r="AA18" s="158" t="str">
        <f t="shared" si="3"/>
        <v>Martin</v>
      </c>
    </row>
    <row r="19" spans="2:27">
      <c r="B19" s="216" t="s">
        <v>194</v>
      </c>
      <c r="C19" s="217" t="s">
        <v>85</v>
      </c>
      <c r="D19" s="159">
        <f t="shared" si="4"/>
        <v>29</v>
      </c>
      <c r="E19" s="159">
        <f t="shared" si="4"/>
        <v>35</v>
      </c>
      <c r="F19" s="159">
        <f t="shared" si="4"/>
        <v>14</v>
      </c>
      <c r="G19" s="159">
        <f t="shared" si="4"/>
        <v>38</v>
      </c>
      <c r="H19" s="159">
        <f t="shared" si="4"/>
        <v>24</v>
      </c>
      <c r="I19" s="159">
        <f t="shared" si="4"/>
        <v>6</v>
      </c>
      <c r="J19" s="159">
        <f t="shared" si="4"/>
        <v>0</v>
      </c>
      <c r="K19" s="159">
        <f t="shared" si="4"/>
        <v>0</v>
      </c>
      <c r="L19" s="159">
        <f t="shared" si="4"/>
        <v>0</v>
      </c>
      <c r="M19" s="159">
        <f t="shared" si="4"/>
        <v>0</v>
      </c>
      <c r="N19" s="159">
        <f t="shared" si="5"/>
        <v>0</v>
      </c>
      <c r="O19" s="159">
        <f t="shared" si="5"/>
        <v>0</v>
      </c>
      <c r="P19" s="159">
        <f t="shared" si="5"/>
        <v>0</v>
      </c>
      <c r="Q19" s="159">
        <f t="shared" si="5"/>
        <v>27</v>
      </c>
      <c r="R19" s="159">
        <f t="shared" si="5"/>
        <v>1</v>
      </c>
      <c r="S19" s="159">
        <f t="shared" si="5"/>
        <v>1</v>
      </c>
      <c r="T19" s="159">
        <f t="shared" si="5"/>
        <v>1</v>
      </c>
      <c r="U19" s="159">
        <f t="shared" si="5"/>
        <v>1</v>
      </c>
      <c r="V19" s="159">
        <f t="shared" si="5"/>
        <v>14</v>
      </c>
      <c r="W19" s="159">
        <f t="shared" si="5"/>
        <v>1</v>
      </c>
      <c r="X19" s="159">
        <f t="shared" si="5"/>
        <v>18</v>
      </c>
      <c r="Y19" s="159">
        <f t="shared" si="5"/>
        <v>1</v>
      </c>
      <c r="Z19" s="164">
        <f t="shared" si="2"/>
        <v>211</v>
      </c>
      <c r="AA19" s="158" t="str">
        <f>C19</f>
        <v>Boasson Hagen</v>
      </c>
    </row>
    <row r="20" spans="2:27">
      <c r="B20" s="216" t="s">
        <v>237</v>
      </c>
      <c r="C20" s="217" t="s">
        <v>69</v>
      </c>
      <c r="D20" s="159">
        <f t="shared" si="4"/>
        <v>0</v>
      </c>
      <c r="E20" s="159">
        <f t="shared" si="4"/>
        <v>0</v>
      </c>
      <c r="F20" s="159">
        <f t="shared" si="4"/>
        <v>0</v>
      </c>
      <c r="G20" s="159">
        <f t="shared" si="4"/>
        <v>0</v>
      </c>
      <c r="H20" s="159">
        <f t="shared" si="4"/>
        <v>0</v>
      </c>
      <c r="I20" s="159">
        <f t="shared" si="4"/>
        <v>0</v>
      </c>
      <c r="J20" s="159">
        <f t="shared" si="4"/>
        <v>0</v>
      </c>
      <c r="K20" s="159">
        <f t="shared" si="4"/>
        <v>0</v>
      </c>
      <c r="L20" s="159">
        <f t="shared" si="4"/>
        <v>0</v>
      </c>
      <c r="M20" s="159">
        <f t="shared" si="4"/>
        <v>0</v>
      </c>
      <c r="N20" s="159">
        <f t="shared" si="5"/>
        <v>0</v>
      </c>
      <c r="O20" s="159">
        <f t="shared" si="5"/>
        <v>0</v>
      </c>
      <c r="P20" s="159">
        <f t="shared" si="5"/>
        <v>0</v>
      </c>
      <c r="Q20" s="159">
        <f t="shared" si="5"/>
        <v>0</v>
      </c>
      <c r="R20" s="159">
        <f t="shared" si="5"/>
        <v>0</v>
      </c>
      <c r="S20" s="159">
        <f t="shared" si="5"/>
        <v>0</v>
      </c>
      <c r="T20" s="159">
        <f t="shared" si="5"/>
        <v>24</v>
      </c>
      <c r="U20" s="159">
        <f t="shared" si="5"/>
        <v>0</v>
      </c>
      <c r="V20" s="159">
        <f t="shared" si="5"/>
        <v>0</v>
      </c>
      <c r="W20" s="159">
        <f t="shared" si="5"/>
        <v>0</v>
      </c>
      <c r="X20" s="159">
        <f t="shared" si="5"/>
        <v>0</v>
      </c>
      <c r="Y20" s="159">
        <f t="shared" si="5"/>
        <v>0</v>
      </c>
      <c r="Z20" s="164">
        <f t="shared" si="2"/>
        <v>24</v>
      </c>
      <c r="AA20" s="158" t="str">
        <f>C20</f>
        <v>Vinokourov</v>
      </c>
    </row>
    <row r="21" spans="2:27" s="219" customFormat="1">
      <c r="C21" s="238"/>
      <c r="D21" s="221"/>
      <c r="E21" s="221"/>
      <c r="F21" s="221"/>
      <c r="G21" s="221"/>
      <c r="H21" s="221"/>
      <c r="I21" s="221"/>
      <c r="J21" s="221">
        <f>J26</f>
        <v>33</v>
      </c>
      <c r="K21" s="221">
        <f>K24+K25</f>
        <v>43</v>
      </c>
      <c r="L21" s="221"/>
      <c r="M21" s="221"/>
      <c r="N21" s="221"/>
      <c r="O21" s="221"/>
      <c r="P21" s="221"/>
      <c r="Q21" s="221"/>
      <c r="R21" s="221"/>
      <c r="S21" s="221"/>
      <c r="T21" s="221"/>
      <c r="U21" s="221"/>
      <c r="V21" s="221"/>
      <c r="W21" s="221"/>
      <c r="X21" s="221"/>
      <c r="Y21" s="221"/>
      <c r="Z21" s="164">
        <f t="shared" si="2"/>
        <v>76</v>
      </c>
    </row>
    <row r="22" spans="2:27" s="162" customFormat="1">
      <c r="C22" s="177"/>
      <c r="D22" s="223">
        <f t="shared" ref="D22:Z22" si="6">SUM(D4:D21)</f>
        <v>149</v>
      </c>
      <c r="E22" s="223">
        <f t="shared" ref="E22" si="7">SUM(E4:E21)</f>
        <v>208</v>
      </c>
      <c r="F22" s="223">
        <f>SUM(F4:F21)</f>
        <v>149</v>
      </c>
      <c r="G22" s="223">
        <f t="shared" si="6"/>
        <v>227</v>
      </c>
      <c r="H22" s="223">
        <f t="shared" si="6"/>
        <v>91</v>
      </c>
      <c r="I22" s="223">
        <f t="shared" si="6"/>
        <v>93</v>
      </c>
      <c r="J22" s="223">
        <f t="shared" si="6"/>
        <v>124</v>
      </c>
      <c r="K22" s="223">
        <f t="shared" si="6"/>
        <v>148</v>
      </c>
      <c r="L22" s="223">
        <f t="shared" si="6"/>
        <v>107</v>
      </c>
      <c r="M22" s="223">
        <f t="shared" si="6"/>
        <v>146</v>
      </c>
      <c r="N22" s="223">
        <f t="shared" si="6"/>
        <v>82</v>
      </c>
      <c r="O22" s="223">
        <f t="shared" si="6"/>
        <v>89</v>
      </c>
      <c r="P22" s="223">
        <f t="shared" si="6"/>
        <v>96</v>
      </c>
      <c r="Q22" s="223">
        <f t="shared" si="6"/>
        <v>137</v>
      </c>
      <c r="R22" s="223">
        <f t="shared" si="6"/>
        <v>82</v>
      </c>
      <c r="S22" s="223">
        <f t="shared" si="6"/>
        <v>66</v>
      </c>
      <c r="T22" s="223">
        <f t="shared" si="6"/>
        <v>85</v>
      </c>
      <c r="U22" s="223">
        <f t="shared" si="6"/>
        <v>133</v>
      </c>
      <c r="V22" s="223">
        <f t="shared" si="6"/>
        <v>132</v>
      </c>
      <c r="W22" s="223">
        <f t="shared" si="6"/>
        <v>89</v>
      </c>
      <c r="X22" s="223">
        <f t="shared" si="6"/>
        <v>127</v>
      </c>
      <c r="Y22" s="223">
        <f t="shared" si="6"/>
        <v>183</v>
      </c>
      <c r="Z22" s="224">
        <f t="shared" si="6"/>
        <v>2743</v>
      </c>
    </row>
    <row r="23" spans="2:27"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140</v>
      </c>
      <c r="C24" s="228" t="s">
        <v>88</v>
      </c>
      <c r="D24" s="295">
        <f t="shared" ref="D24:Y26" si="8">INDEX(scorematrix,MATCH($C24,renners,0),MATCH(D$3,etappes,0))</f>
        <v>0</v>
      </c>
      <c r="E24" s="295">
        <f t="shared" si="8"/>
        <v>0</v>
      </c>
      <c r="F24" s="295">
        <f t="shared" si="8"/>
        <v>0</v>
      </c>
      <c r="G24" s="295">
        <f t="shared" si="8"/>
        <v>0</v>
      </c>
      <c r="H24" s="295">
        <f t="shared" si="8"/>
        <v>0</v>
      </c>
      <c r="I24" s="295">
        <f t="shared" si="8"/>
        <v>0</v>
      </c>
      <c r="J24" s="295">
        <f t="shared" si="8"/>
        <v>0</v>
      </c>
      <c r="K24" s="296">
        <f t="shared" si="8"/>
        <v>29</v>
      </c>
      <c r="L24" s="297">
        <f t="shared" si="8"/>
        <v>1</v>
      </c>
      <c r="M24" s="297">
        <f t="shared" si="8"/>
        <v>0</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17</v>
      </c>
      <c r="X24" s="295">
        <f t="shared" si="8"/>
        <v>0</v>
      </c>
      <c r="Y24" s="295">
        <f t="shared" si="8"/>
        <v>0</v>
      </c>
      <c r="Z24" s="229">
        <f>SUM(D24:Y24)</f>
        <v>47</v>
      </c>
    </row>
    <row r="25" spans="2:27" s="230" customFormat="1">
      <c r="B25" s="216" t="s">
        <v>158</v>
      </c>
      <c r="C25" s="228" t="s">
        <v>159</v>
      </c>
      <c r="D25" s="295">
        <f t="shared" si="8"/>
        <v>0</v>
      </c>
      <c r="E25" s="295">
        <f t="shared" si="8"/>
        <v>0</v>
      </c>
      <c r="F25" s="295">
        <f t="shared" si="8"/>
        <v>0</v>
      </c>
      <c r="G25" s="295">
        <f t="shared" si="8"/>
        <v>6</v>
      </c>
      <c r="H25" s="295">
        <f t="shared" si="8"/>
        <v>0</v>
      </c>
      <c r="I25" s="295">
        <f t="shared" si="8"/>
        <v>0</v>
      </c>
      <c r="J25" s="295">
        <f t="shared" si="8"/>
        <v>0</v>
      </c>
      <c r="K25" s="296">
        <f t="shared" si="8"/>
        <v>14</v>
      </c>
      <c r="L25" s="297">
        <f t="shared" si="8"/>
        <v>16</v>
      </c>
      <c r="M25" s="297">
        <f t="shared" si="8"/>
        <v>0</v>
      </c>
      <c r="N25" s="295">
        <f t="shared" si="8"/>
        <v>0</v>
      </c>
      <c r="O25" s="295">
        <f t="shared" si="8"/>
        <v>16</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29">
        <f>SUM(D25:Y25)</f>
        <v>52</v>
      </c>
    </row>
    <row r="26" spans="2:27" s="230" customFormat="1">
      <c r="B26" s="216" t="s">
        <v>171</v>
      </c>
      <c r="C26" s="228" t="s">
        <v>99</v>
      </c>
      <c r="D26" s="295">
        <f t="shared" si="8"/>
        <v>0</v>
      </c>
      <c r="E26" s="295">
        <f t="shared" si="8"/>
        <v>0</v>
      </c>
      <c r="F26" s="295">
        <f t="shared" si="8"/>
        <v>30</v>
      </c>
      <c r="G26" s="295">
        <f t="shared" si="8"/>
        <v>0</v>
      </c>
      <c r="H26" s="295">
        <f t="shared" si="8"/>
        <v>38</v>
      </c>
      <c r="I26" s="295">
        <f t="shared" si="8"/>
        <v>38</v>
      </c>
      <c r="J26" s="296">
        <f t="shared" si="8"/>
        <v>33</v>
      </c>
      <c r="K26" s="295">
        <f t="shared" si="8"/>
        <v>3</v>
      </c>
      <c r="L26" s="295">
        <f t="shared" si="8"/>
        <v>3</v>
      </c>
      <c r="M26" s="295">
        <f t="shared" si="8"/>
        <v>3</v>
      </c>
      <c r="N26" s="295">
        <f t="shared" si="8"/>
        <v>3</v>
      </c>
      <c r="O26" s="295">
        <f t="shared" si="8"/>
        <v>3</v>
      </c>
      <c r="P26" s="295">
        <f t="shared" si="8"/>
        <v>3</v>
      </c>
      <c r="Q26" s="295">
        <f t="shared" si="8"/>
        <v>39</v>
      </c>
      <c r="R26" s="295">
        <f t="shared" si="8"/>
        <v>4</v>
      </c>
      <c r="S26" s="295">
        <f t="shared" si="8"/>
        <v>23</v>
      </c>
      <c r="T26" s="295">
        <f t="shared" si="8"/>
        <v>4</v>
      </c>
      <c r="U26" s="295">
        <f t="shared" si="8"/>
        <v>4</v>
      </c>
      <c r="V26" s="295">
        <f t="shared" si="8"/>
        <v>19</v>
      </c>
      <c r="W26" s="295">
        <f t="shared" si="8"/>
        <v>4</v>
      </c>
      <c r="X26" s="295">
        <f t="shared" si="8"/>
        <v>22</v>
      </c>
      <c r="Y26" s="295">
        <f t="shared" si="8"/>
        <v>7</v>
      </c>
      <c r="Z26" s="229">
        <f>SUM(D26:Y26)</f>
        <v>283</v>
      </c>
    </row>
    <row r="27" spans="2:27" s="225" customFormat="1">
      <c r="C27" s="222"/>
      <c r="D27" s="194"/>
      <c r="E27" s="194"/>
      <c r="F27" s="194"/>
      <c r="G27" s="226"/>
      <c r="H27" s="194"/>
      <c r="I27" s="194"/>
      <c r="J27" s="194"/>
      <c r="K27" s="194"/>
      <c r="L27" s="194"/>
      <c r="M27" s="194"/>
      <c r="N27" s="194"/>
      <c r="O27" s="194"/>
      <c r="Z27" s="231"/>
    </row>
    <row r="28" spans="2:27" s="225" customFormat="1">
      <c r="C28" s="232"/>
      <c r="D28" s="194"/>
      <c r="E28" s="194"/>
      <c r="F28" s="194"/>
      <c r="G28" s="226"/>
      <c r="H28" s="194"/>
      <c r="I28" s="194"/>
      <c r="J28" s="194"/>
      <c r="K28" s="194"/>
      <c r="L28" s="194"/>
      <c r="M28" s="194"/>
      <c r="N28" s="194"/>
      <c r="O28" s="194"/>
      <c r="Z28" s="231"/>
    </row>
    <row r="29" spans="2:27" s="225" customFormat="1">
      <c r="C29" s="222"/>
      <c r="D29" s="194"/>
      <c r="E29" s="194"/>
      <c r="F29" s="194"/>
      <c r="G29" s="226"/>
      <c r="H29" s="194"/>
      <c r="I29" s="194"/>
      <c r="J29" s="194"/>
      <c r="K29" s="194"/>
      <c r="L29" s="194"/>
      <c r="M29" s="194"/>
      <c r="N29" s="194"/>
      <c r="O29" s="194"/>
      <c r="Z29" s="231"/>
    </row>
    <row r="30" spans="2:27" s="225" customFormat="1">
      <c r="B30" s="171"/>
      <c r="C30" s="171"/>
      <c r="D30" s="194"/>
      <c r="E30" s="194"/>
      <c r="F30" s="194"/>
      <c r="G30" s="226"/>
      <c r="H30" s="194"/>
      <c r="I30" s="194"/>
      <c r="J30" s="194"/>
      <c r="K30" s="194"/>
      <c r="L30" s="194"/>
      <c r="M30" s="194"/>
      <c r="N30" s="194"/>
      <c r="O30" s="194"/>
      <c r="Z30" s="231"/>
    </row>
    <row r="31" spans="2:27" s="225" customFormat="1">
      <c r="B31" s="158"/>
      <c r="C31" s="158"/>
      <c r="D31" s="194"/>
      <c r="E31" s="194"/>
      <c r="F31" s="194"/>
      <c r="G31" s="226"/>
      <c r="H31" s="194"/>
      <c r="I31" s="194"/>
      <c r="J31" s="194"/>
      <c r="K31" s="194"/>
      <c r="L31" s="194"/>
      <c r="M31" s="194"/>
      <c r="N31" s="194"/>
      <c r="O31" s="194"/>
      <c r="Z31" s="231"/>
    </row>
    <row r="32" spans="2:27" s="234" customFormat="1">
      <c r="B32" s="158"/>
      <c r="C32" s="158"/>
      <c r="D32" s="235"/>
      <c r="E32" s="235"/>
      <c r="F32" s="235"/>
      <c r="G32" s="236"/>
      <c r="H32" s="190"/>
      <c r="I32" s="190"/>
      <c r="J32" s="190"/>
      <c r="K32" s="190"/>
      <c r="L32" s="190"/>
      <c r="M32" s="190"/>
      <c r="N32" s="190"/>
      <c r="O32" s="190"/>
      <c r="P32" s="237"/>
      <c r="Z32" s="180"/>
    </row>
    <row r="33" spans="2:26" s="234" customFormat="1">
      <c r="B33" s="158"/>
      <c r="C33" s="158"/>
      <c r="D33" s="235"/>
      <c r="E33" s="235"/>
      <c r="F33" s="235"/>
      <c r="G33" s="236"/>
      <c r="H33" s="190"/>
      <c r="I33" s="190"/>
      <c r="J33" s="190"/>
      <c r="K33" s="190"/>
      <c r="L33" s="190"/>
      <c r="M33" s="190"/>
      <c r="N33" s="190"/>
      <c r="O33" s="190"/>
      <c r="P33" s="237"/>
      <c r="Z33" s="180"/>
    </row>
    <row r="34" spans="2:26" s="234" customFormat="1">
      <c r="B34" s="158"/>
      <c r="C34" s="158"/>
      <c r="D34" s="235"/>
      <c r="E34" s="235"/>
      <c r="F34" s="235"/>
      <c r="G34" s="236"/>
      <c r="H34" s="190"/>
      <c r="I34" s="190"/>
      <c r="J34" s="190"/>
      <c r="K34" s="190"/>
      <c r="L34" s="190"/>
      <c r="M34" s="190"/>
      <c r="N34" s="190"/>
      <c r="O34" s="190"/>
      <c r="P34" s="237"/>
      <c r="Z34" s="180"/>
    </row>
    <row r="35" spans="2:26" s="234" customFormat="1">
      <c r="B35" s="158"/>
      <c r="C35" s="158"/>
      <c r="D35" s="235"/>
      <c r="E35" s="235"/>
      <c r="F35" s="235"/>
      <c r="G35" s="236"/>
      <c r="H35" s="190"/>
      <c r="I35" s="190"/>
      <c r="J35" s="190"/>
      <c r="K35" s="190"/>
      <c r="L35" s="190"/>
      <c r="M35" s="190"/>
      <c r="N35" s="190"/>
      <c r="O35" s="190"/>
      <c r="P35" s="237"/>
      <c r="Z35" s="180"/>
    </row>
    <row r="36" spans="2:26" s="234" customFormat="1">
      <c r="B36" s="158"/>
      <c r="C36" s="158"/>
      <c r="D36" s="235"/>
      <c r="E36" s="235"/>
      <c r="F36" s="235"/>
      <c r="G36" s="236"/>
      <c r="H36" s="190"/>
      <c r="I36" s="190"/>
      <c r="J36" s="190"/>
      <c r="K36" s="190"/>
      <c r="L36" s="190"/>
      <c r="M36" s="190"/>
      <c r="N36" s="190"/>
      <c r="O36" s="190"/>
      <c r="P36" s="237"/>
      <c r="Z36" s="180"/>
    </row>
    <row r="37" spans="2:26" s="234" customFormat="1">
      <c r="B37" s="158"/>
      <c r="C37" s="158"/>
      <c r="D37" s="235"/>
      <c r="E37" s="235"/>
      <c r="F37" s="235"/>
      <c r="G37" s="236"/>
      <c r="H37" s="190"/>
      <c r="I37" s="190"/>
      <c r="J37" s="190"/>
      <c r="K37" s="190"/>
      <c r="L37" s="190"/>
      <c r="M37" s="190"/>
      <c r="N37" s="190"/>
      <c r="O37" s="190"/>
      <c r="P37" s="237"/>
      <c r="Z37" s="180"/>
    </row>
    <row r="38" spans="2:26" s="234" customFormat="1">
      <c r="B38" s="158"/>
      <c r="C38" s="158"/>
      <c r="D38" s="235"/>
      <c r="E38" s="235"/>
      <c r="F38" s="235"/>
      <c r="G38" s="236"/>
      <c r="H38" s="190"/>
      <c r="I38" s="190"/>
      <c r="J38" s="190"/>
      <c r="K38" s="190"/>
      <c r="L38" s="190"/>
      <c r="M38" s="190"/>
      <c r="N38" s="190"/>
      <c r="O38" s="190"/>
      <c r="P38" s="237"/>
      <c r="Z38" s="180"/>
    </row>
    <row r="39" spans="2:26" s="234" customFormat="1">
      <c r="B39" s="158"/>
      <c r="C39" s="158"/>
      <c r="D39" s="235"/>
      <c r="E39" s="235"/>
      <c r="F39" s="235"/>
      <c r="G39" s="236"/>
      <c r="H39" s="190"/>
      <c r="I39" s="190"/>
      <c r="J39" s="190"/>
      <c r="K39" s="190"/>
      <c r="L39" s="190"/>
      <c r="M39" s="190"/>
      <c r="N39" s="190"/>
      <c r="O39" s="190"/>
      <c r="P39" s="237"/>
      <c r="Z39" s="180"/>
    </row>
    <row r="40" spans="2:26" s="234" customFormat="1">
      <c r="B40" s="158"/>
      <c r="C40" s="158"/>
      <c r="D40" s="235"/>
      <c r="E40" s="235"/>
      <c r="F40" s="235"/>
      <c r="G40" s="236"/>
      <c r="H40" s="190"/>
      <c r="I40" s="190"/>
      <c r="J40" s="190"/>
      <c r="K40" s="190"/>
      <c r="L40" s="190"/>
      <c r="M40" s="190"/>
      <c r="N40" s="190"/>
      <c r="O40" s="190"/>
      <c r="P40" s="237"/>
      <c r="Z40" s="180"/>
    </row>
    <row r="41" spans="2:26" s="234" customFormat="1">
      <c r="B41" s="158"/>
      <c r="C41" s="158"/>
      <c r="D41" s="235"/>
      <c r="E41" s="235"/>
      <c r="F41" s="235"/>
      <c r="G41" s="236"/>
      <c r="H41" s="190"/>
      <c r="I41" s="190"/>
      <c r="J41" s="190"/>
      <c r="K41" s="190"/>
      <c r="L41" s="190"/>
      <c r="M41" s="190"/>
      <c r="N41" s="190"/>
      <c r="O41" s="190"/>
      <c r="P41" s="237"/>
      <c r="Z41" s="180"/>
    </row>
    <row r="42" spans="2:26" s="234" customFormat="1">
      <c r="B42" s="158"/>
      <c r="C42" s="158"/>
      <c r="D42" s="235"/>
      <c r="E42" s="235"/>
      <c r="F42" s="235"/>
      <c r="G42" s="236"/>
      <c r="H42" s="190"/>
      <c r="I42" s="190"/>
      <c r="J42" s="190"/>
      <c r="K42" s="190"/>
      <c r="L42" s="190"/>
      <c r="M42" s="190"/>
      <c r="N42" s="190"/>
      <c r="O42" s="190"/>
      <c r="P42" s="237"/>
      <c r="Z42" s="180"/>
    </row>
    <row r="43" spans="2:26" s="234" customFormat="1">
      <c r="B43" s="158"/>
      <c r="C43" s="158"/>
      <c r="D43" s="235"/>
      <c r="E43" s="235"/>
      <c r="F43" s="235"/>
      <c r="G43" s="236"/>
      <c r="H43" s="190"/>
      <c r="I43" s="190"/>
      <c r="J43" s="190"/>
      <c r="K43" s="190"/>
      <c r="L43" s="190"/>
      <c r="M43" s="190"/>
      <c r="N43" s="190"/>
      <c r="O43" s="190"/>
      <c r="P43" s="237"/>
      <c r="Z43" s="180"/>
    </row>
    <row r="44" spans="2:26" s="234" customFormat="1">
      <c r="C44" s="193"/>
      <c r="D44" s="235"/>
      <c r="E44" s="235"/>
      <c r="F44" s="235"/>
      <c r="G44" s="236"/>
      <c r="H44" s="190"/>
      <c r="I44" s="190"/>
      <c r="J44" s="190"/>
      <c r="K44" s="190"/>
      <c r="L44" s="190"/>
      <c r="M44" s="190"/>
      <c r="N44" s="190"/>
      <c r="O44" s="190"/>
      <c r="P44" s="237"/>
      <c r="Z44" s="180"/>
    </row>
    <row r="45" spans="2:26" s="234" customFormat="1">
      <c r="C45" s="193"/>
      <c r="D45" s="235"/>
      <c r="E45" s="235"/>
      <c r="F45" s="235"/>
      <c r="G45" s="236"/>
      <c r="H45" s="190"/>
      <c r="I45" s="190"/>
      <c r="J45" s="190"/>
      <c r="K45" s="190"/>
      <c r="L45" s="190"/>
      <c r="M45" s="190"/>
      <c r="N45" s="190"/>
      <c r="O45" s="190"/>
      <c r="P45" s="237"/>
      <c r="Z45" s="180"/>
    </row>
    <row r="46" spans="2:26" s="234" customFormat="1">
      <c r="C46" s="193"/>
      <c r="D46" s="235"/>
      <c r="E46" s="235"/>
      <c r="F46" s="235"/>
      <c r="G46" s="236"/>
      <c r="H46" s="190"/>
      <c r="I46" s="190"/>
      <c r="J46" s="190"/>
      <c r="K46" s="190"/>
      <c r="L46" s="190"/>
      <c r="M46" s="190"/>
      <c r="N46" s="190"/>
      <c r="O46" s="190"/>
      <c r="P46" s="237"/>
      <c r="Z46" s="180"/>
    </row>
    <row r="47" spans="2:26" s="234" customFormat="1">
      <c r="C47" s="193"/>
      <c r="D47" s="235"/>
      <c r="E47" s="235"/>
      <c r="F47" s="235"/>
      <c r="G47" s="236"/>
      <c r="H47" s="190"/>
      <c r="I47" s="190"/>
      <c r="J47" s="190"/>
      <c r="K47" s="190"/>
      <c r="L47" s="190"/>
      <c r="M47" s="190"/>
      <c r="N47" s="190"/>
      <c r="O47" s="190"/>
      <c r="P47" s="237"/>
      <c r="Z47" s="180"/>
    </row>
    <row r="48" spans="2:26" s="234" customFormat="1">
      <c r="C48" s="193"/>
      <c r="D48" s="235"/>
      <c r="E48" s="235"/>
      <c r="F48" s="235"/>
      <c r="G48" s="236"/>
      <c r="H48" s="190"/>
      <c r="I48" s="190"/>
      <c r="J48" s="190"/>
      <c r="K48" s="190"/>
      <c r="L48" s="190"/>
      <c r="M48" s="190"/>
      <c r="N48" s="190"/>
      <c r="O48" s="190"/>
      <c r="P48" s="237"/>
      <c r="Z48" s="180"/>
    </row>
    <row r="49" spans="3:26" s="234" customFormat="1">
      <c r="C49" s="193"/>
      <c r="D49" s="235"/>
      <c r="E49" s="235"/>
      <c r="F49" s="235"/>
      <c r="G49" s="236"/>
      <c r="H49" s="190"/>
      <c r="I49" s="190"/>
      <c r="J49" s="190"/>
      <c r="K49" s="190"/>
      <c r="L49" s="190"/>
      <c r="M49" s="190"/>
      <c r="N49" s="190"/>
      <c r="O49" s="190"/>
      <c r="P49" s="237"/>
      <c r="Z49" s="180"/>
    </row>
    <row r="50" spans="3:26" s="234" customFormat="1">
      <c r="C50" s="193"/>
      <c r="D50" s="235"/>
      <c r="E50" s="235"/>
      <c r="F50" s="235"/>
      <c r="G50" s="236"/>
      <c r="H50" s="190"/>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row r="57" spans="3:26" s="234" customFormat="1">
      <c r="C57" s="193"/>
      <c r="D57" s="235"/>
      <c r="E57" s="235"/>
      <c r="F57" s="235"/>
      <c r="G57" s="236"/>
      <c r="H57" s="190"/>
      <c r="I57" s="190"/>
      <c r="J57" s="190"/>
      <c r="K57" s="190"/>
      <c r="L57" s="190"/>
      <c r="M57" s="190"/>
      <c r="N57" s="190"/>
      <c r="O57" s="190"/>
      <c r="P57" s="237"/>
      <c r="Z57" s="180"/>
    </row>
    <row r="58" spans="3:26" s="234" customFormat="1">
      <c r="C58" s="193"/>
      <c r="D58" s="235"/>
      <c r="E58" s="235"/>
      <c r="F58" s="235"/>
      <c r="G58" s="236"/>
      <c r="H58" s="190"/>
      <c r="I58" s="190"/>
      <c r="J58" s="190"/>
      <c r="K58" s="190"/>
      <c r="L58" s="190"/>
      <c r="M58" s="190"/>
      <c r="N58" s="190"/>
      <c r="O58" s="190"/>
      <c r="P58" s="237"/>
      <c r="Z58" s="180"/>
    </row>
    <row r="59" spans="3:26" s="234" customFormat="1">
      <c r="C59" s="193"/>
      <c r="D59" s="235"/>
      <c r="E59" s="235"/>
      <c r="F59" s="235"/>
      <c r="G59" s="236"/>
      <c r="H59" s="190"/>
      <c r="I59" s="190"/>
      <c r="J59" s="190"/>
      <c r="K59" s="190"/>
      <c r="L59" s="190"/>
      <c r="M59" s="190"/>
      <c r="N59" s="190"/>
      <c r="O59" s="190"/>
      <c r="P59" s="237"/>
      <c r="Z59" s="180"/>
    </row>
    <row r="60" spans="3:26" s="234" customFormat="1">
      <c r="C60" s="193"/>
      <c r="D60" s="235"/>
      <c r="E60" s="235"/>
      <c r="F60" s="235"/>
      <c r="G60" s="236"/>
      <c r="H60" s="190"/>
      <c r="I60" s="190"/>
      <c r="J60" s="190"/>
      <c r="K60" s="190"/>
      <c r="L60" s="190"/>
      <c r="M60" s="190"/>
      <c r="N60" s="190"/>
      <c r="O60" s="190"/>
      <c r="P60" s="237"/>
      <c r="Z60" s="180"/>
    </row>
    <row r="61" spans="3:26" s="234" customFormat="1">
      <c r="C61" s="193"/>
      <c r="D61" s="235"/>
      <c r="E61" s="235"/>
      <c r="F61" s="235"/>
      <c r="G61" s="236"/>
      <c r="H61" s="190"/>
      <c r="I61" s="190"/>
      <c r="J61" s="190"/>
      <c r="K61" s="190"/>
      <c r="L61" s="190"/>
      <c r="M61" s="190"/>
      <c r="N61" s="190"/>
      <c r="O61" s="190"/>
      <c r="P61" s="237"/>
      <c r="Z61" s="180"/>
    </row>
    <row r="62" spans="3:26" s="234" customFormat="1">
      <c r="C62" s="193"/>
      <c r="D62" s="235"/>
      <c r="E62" s="235"/>
      <c r="F62" s="235"/>
      <c r="G62" s="236"/>
      <c r="H62" s="190"/>
      <c r="I62" s="190"/>
      <c r="J62" s="190"/>
      <c r="K62" s="190"/>
      <c r="L62" s="190"/>
      <c r="M62" s="190"/>
      <c r="N62" s="190"/>
      <c r="O62" s="190"/>
      <c r="P62" s="237"/>
      <c r="Z62" s="180"/>
    </row>
    <row r="63" spans="3:26" s="234" customFormat="1">
      <c r="C63" s="193"/>
      <c r="D63" s="235"/>
      <c r="E63" s="235"/>
      <c r="F63" s="235"/>
      <c r="G63" s="236"/>
      <c r="H63" s="190"/>
      <c r="I63" s="190"/>
      <c r="J63" s="190"/>
      <c r="K63" s="190"/>
      <c r="L63" s="190"/>
      <c r="M63" s="190"/>
      <c r="N63" s="190"/>
      <c r="O63" s="190"/>
      <c r="P63" s="237"/>
      <c r="Z63" s="180"/>
    </row>
    <row r="64" spans="3:26" s="234" customFormat="1">
      <c r="C64" s="193"/>
      <c r="D64" s="235"/>
      <c r="E64" s="235"/>
      <c r="F64" s="235"/>
      <c r="G64" s="236"/>
      <c r="H64" s="190"/>
      <c r="I64" s="190"/>
      <c r="J64" s="190"/>
      <c r="K64" s="190"/>
      <c r="L64" s="190"/>
      <c r="M64" s="190"/>
      <c r="N64" s="190"/>
      <c r="O64" s="190"/>
      <c r="P64" s="237"/>
      <c r="Z64" s="180"/>
    </row>
    <row r="65" spans="3:26" s="234" customFormat="1">
      <c r="C65" s="193"/>
      <c r="D65" s="235"/>
      <c r="E65" s="235"/>
      <c r="F65" s="235"/>
      <c r="G65" s="236"/>
      <c r="H65" s="190"/>
      <c r="I65" s="190"/>
      <c r="J65" s="190"/>
      <c r="K65" s="190"/>
      <c r="L65" s="190"/>
      <c r="M65" s="190"/>
      <c r="N65" s="190"/>
      <c r="O65" s="190"/>
      <c r="P65" s="237"/>
      <c r="Z65" s="180"/>
    </row>
    <row r="66" spans="3:26" s="234" customFormat="1">
      <c r="C66" s="193"/>
      <c r="D66" s="235"/>
      <c r="E66" s="235"/>
      <c r="F66" s="235"/>
      <c r="G66" s="236"/>
      <c r="H66" s="190"/>
      <c r="I66" s="190"/>
      <c r="J66" s="190"/>
      <c r="K66" s="190"/>
      <c r="L66" s="190"/>
      <c r="M66" s="190"/>
      <c r="N66" s="190"/>
      <c r="O66" s="190"/>
      <c r="P66" s="237"/>
      <c r="Z66" s="180"/>
    </row>
    <row r="67" spans="3:26" s="234" customFormat="1">
      <c r="C67" s="193"/>
      <c r="D67" s="235"/>
      <c r="E67" s="235"/>
      <c r="F67" s="235"/>
      <c r="G67" s="236"/>
      <c r="H67" s="190"/>
      <c r="I67" s="190"/>
      <c r="J67" s="190"/>
      <c r="K67" s="190"/>
      <c r="L67" s="190"/>
      <c r="M67" s="190"/>
      <c r="N67" s="190"/>
      <c r="O67" s="190"/>
      <c r="P67" s="237"/>
      <c r="Z67" s="180"/>
    </row>
    <row r="68" spans="3:26" s="234" customFormat="1">
      <c r="C68" s="193"/>
      <c r="D68" s="235"/>
      <c r="E68" s="235"/>
      <c r="F68" s="235"/>
      <c r="G68" s="236"/>
      <c r="H68" s="190"/>
      <c r="I68" s="190"/>
      <c r="J68" s="190"/>
      <c r="K68" s="190"/>
      <c r="L68" s="190"/>
      <c r="M68" s="190"/>
      <c r="N68" s="190"/>
      <c r="O68" s="190"/>
      <c r="P68" s="237"/>
      <c r="Z68" s="180"/>
    </row>
    <row r="69" spans="3:26" s="234" customFormat="1">
      <c r="C69" s="193"/>
      <c r="D69" s="235"/>
      <c r="E69" s="235"/>
      <c r="F69" s="235"/>
      <c r="G69" s="236"/>
      <c r="H69" s="190"/>
      <c r="I69" s="190"/>
      <c r="J69" s="190"/>
      <c r="K69" s="190"/>
      <c r="L69" s="190"/>
      <c r="M69" s="190"/>
      <c r="N69" s="190"/>
      <c r="O69" s="190"/>
      <c r="P69" s="237"/>
      <c r="Z69" s="180"/>
    </row>
    <row r="70" spans="3:26" s="234" customFormat="1">
      <c r="C70" s="193"/>
      <c r="D70" s="235"/>
      <c r="E70" s="235"/>
      <c r="F70" s="235"/>
      <c r="G70" s="236"/>
      <c r="H70" s="190"/>
      <c r="I70" s="190"/>
      <c r="J70" s="190"/>
      <c r="K70" s="190"/>
      <c r="L70" s="190"/>
      <c r="M70" s="190"/>
      <c r="N70" s="190"/>
      <c r="O70" s="190"/>
      <c r="P70" s="237"/>
      <c r="Z70" s="180"/>
    </row>
    <row r="71" spans="3:26" s="234" customFormat="1">
      <c r="C71" s="193"/>
      <c r="D71" s="235"/>
      <c r="E71" s="235"/>
      <c r="F71" s="235"/>
      <c r="G71" s="236"/>
      <c r="H71" s="190"/>
      <c r="I71" s="190"/>
      <c r="J71" s="190"/>
      <c r="K71" s="190"/>
      <c r="L71" s="190"/>
      <c r="M71" s="190"/>
      <c r="N71" s="190"/>
      <c r="O71" s="190"/>
      <c r="P71" s="237"/>
      <c r="Z71" s="180"/>
    </row>
  </sheetData>
  <phoneticPr fontId="0"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enableFormatConditionsCalculation="0">
    <tabColor indexed="12"/>
  </sheetPr>
  <dimension ref="B1:AA71"/>
  <sheetViews>
    <sheetView showZeros="0" workbookViewId="0">
      <selection activeCell="Q24" sqref="Q24"/>
    </sheetView>
  </sheetViews>
  <sheetFormatPr defaultRowHeight="12.75"/>
  <cols>
    <col min="1" max="1" width="2.7109375" style="158" customWidth="1"/>
    <col min="2" max="2" width="8.85546875" style="158" customWidth="1"/>
    <col min="3" max="3" width="13" style="158"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B1" s="239"/>
      <c r="C1" s="240" t="s">
        <v>232</v>
      </c>
    </row>
    <row r="2" spans="2:27">
      <c r="B2" s="239"/>
      <c r="C2" s="241"/>
      <c r="G2" s="179"/>
    </row>
    <row r="3" spans="2:27" s="177" customFormat="1" ht="13.5" thickBot="1">
      <c r="B3" s="242"/>
      <c r="C3" s="243" t="s">
        <v>90</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50" t="s">
        <v>141</v>
      </c>
      <c r="C4" s="284"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0" si="2">SUM(D4:Y4)</f>
        <v>370</v>
      </c>
      <c r="AA4" s="158" t="str">
        <f t="shared" ref="AA4:AA18" si="3">C4</f>
        <v>Evans</v>
      </c>
    </row>
    <row r="5" spans="2:27">
      <c r="B5" s="250" t="s">
        <v>152</v>
      </c>
      <c r="C5" s="284" t="s">
        <v>98</v>
      </c>
      <c r="D5" s="159">
        <f t="shared" si="0"/>
        <v>19</v>
      </c>
      <c r="E5" s="159">
        <f t="shared" si="0"/>
        <v>30</v>
      </c>
      <c r="F5" s="159">
        <f t="shared" si="0"/>
        <v>4</v>
      </c>
      <c r="G5" s="159">
        <f t="shared" si="0"/>
        <v>0</v>
      </c>
      <c r="H5" s="159">
        <f t="shared" si="0"/>
        <v>0</v>
      </c>
      <c r="I5" s="159">
        <f t="shared" si="0"/>
        <v>0</v>
      </c>
      <c r="J5" s="159">
        <f t="shared" si="0"/>
        <v>0</v>
      </c>
      <c r="K5" s="159">
        <f t="shared" si="0"/>
        <v>0</v>
      </c>
      <c r="L5" s="159">
        <f t="shared" si="0"/>
        <v>0</v>
      </c>
      <c r="M5" s="159">
        <f t="shared" si="0"/>
        <v>0</v>
      </c>
      <c r="N5" s="159">
        <f t="shared" si="1"/>
        <v>0</v>
      </c>
      <c r="O5" s="159">
        <f t="shared" si="1"/>
        <v>0</v>
      </c>
      <c r="P5" s="159">
        <f t="shared" si="1"/>
        <v>0</v>
      </c>
      <c r="Q5" s="159">
        <f t="shared" si="1"/>
        <v>18</v>
      </c>
      <c r="R5" s="159">
        <f t="shared" si="1"/>
        <v>24</v>
      </c>
      <c r="S5" s="159">
        <f t="shared" si="1"/>
        <v>0</v>
      </c>
      <c r="T5" s="159">
        <f t="shared" si="1"/>
        <v>0</v>
      </c>
      <c r="U5" s="159">
        <f t="shared" si="1"/>
        <v>0</v>
      </c>
      <c r="V5" s="159">
        <f t="shared" si="1"/>
        <v>0</v>
      </c>
      <c r="W5" s="159">
        <f t="shared" si="1"/>
        <v>0</v>
      </c>
      <c r="X5" s="159">
        <f t="shared" si="1"/>
        <v>0</v>
      </c>
      <c r="Y5" s="159">
        <f t="shared" si="1"/>
        <v>0</v>
      </c>
      <c r="Z5" s="164">
        <f t="shared" si="2"/>
        <v>95</v>
      </c>
      <c r="AA5" s="158" t="str">
        <f t="shared" si="3"/>
        <v>Gilbert</v>
      </c>
    </row>
    <row r="6" spans="2:27">
      <c r="B6" s="250" t="s">
        <v>158</v>
      </c>
      <c r="C6" s="284" t="s">
        <v>159</v>
      </c>
      <c r="D6" s="159">
        <f t="shared" si="0"/>
        <v>0</v>
      </c>
      <c r="E6" s="159">
        <f t="shared" si="0"/>
        <v>0</v>
      </c>
      <c r="F6" s="159">
        <f t="shared" si="0"/>
        <v>0</v>
      </c>
      <c r="G6" s="159">
        <f t="shared" si="0"/>
        <v>6</v>
      </c>
      <c r="H6" s="159">
        <f t="shared" si="0"/>
        <v>0</v>
      </c>
      <c r="I6" s="159">
        <f t="shared" si="0"/>
        <v>0</v>
      </c>
      <c r="J6" s="159">
        <f t="shared" si="0"/>
        <v>0</v>
      </c>
      <c r="K6" s="159">
        <f t="shared" si="0"/>
        <v>14</v>
      </c>
      <c r="L6" s="159">
        <f t="shared" si="0"/>
        <v>16</v>
      </c>
      <c r="M6" s="159">
        <f t="shared" si="0"/>
        <v>0</v>
      </c>
      <c r="N6" s="159">
        <f t="shared" si="1"/>
        <v>0</v>
      </c>
      <c r="O6" s="159">
        <f t="shared" si="1"/>
        <v>16</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52</v>
      </c>
      <c r="AA6" s="158" t="str">
        <f t="shared" si="3"/>
        <v>Schleck</v>
      </c>
    </row>
    <row r="7" spans="2:27">
      <c r="B7" s="250" t="s">
        <v>227</v>
      </c>
      <c r="C7" s="284" t="s">
        <v>228</v>
      </c>
      <c r="D7" s="159">
        <f t="shared" si="0"/>
        <v>7</v>
      </c>
      <c r="E7" s="159">
        <f t="shared" si="0"/>
        <v>0</v>
      </c>
      <c r="F7" s="159">
        <f t="shared" si="0"/>
        <v>0</v>
      </c>
      <c r="G7" s="159">
        <f t="shared" si="0"/>
        <v>14</v>
      </c>
      <c r="H7" s="159">
        <f t="shared" si="0"/>
        <v>1</v>
      </c>
      <c r="I7" s="159">
        <f t="shared" si="0"/>
        <v>1</v>
      </c>
      <c r="J7" s="159">
        <f t="shared" si="0"/>
        <v>10</v>
      </c>
      <c r="K7" s="159">
        <f t="shared" si="0"/>
        <v>0</v>
      </c>
      <c r="L7" s="159">
        <f t="shared" si="0"/>
        <v>0</v>
      </c>
      <c r="M7" s="159">
        <f t="shared" si="0"/>
        <v>16</v>
      </c>
      <c r="N7" s="159">
        <f t="shared" si="1"/>
        <v>0</v>
      </c>
      <c r="O7" s="159">
        <f t="shared" si="1"/>
        <v>12</v>
      </c>
      <c r="P7" s="159">
        <f t="shared" si="1"/>
        <v>0</v>
      </c>
      <c r="Q7" s="159">
        <f t="shared" si="1"/>
        <v>8</v>
      </c>
      <c r="R7" s="159">
        <f t="shared" si="1"/>
        <v>0</v>
      </c>
      <c r="S7" s="159">
        <f t="shared" si="1"/>
        <v>0</v>
      </c>
      <c r="T7" s="159">
        <f t="shared" si="1"/>
        <v>0</v>
      </c>
      <c r="U7" s="159">
        <f t="shared" si="1"/>
        <v>15</v>
      </c>
      <c r="V7" s="159">
        <f t="shared" si="1"/>
        <v>12</v>
      </c>
      <c r="W7" s="159">
        <f t="shared" si="1"/>
        <v>7</v>
      </c>
      <c r="X7" s="159">
        <f t="shared" si="1"/>
        <v>0</v>
      </c>
      <c r="Y7" s="159">
        <f t="shared" si="1"/>
        <v>30</v>
      </c>
      <c r="Z7" s="164">
        <f t="shared" si="2"/>
        <v>133</v>
      </c>
      <c r="AA7" s="158" t="str">
        <f t="shared" si="3"/>
        <v>Kloden</v>
      </c>
    </row>
    <row r="8" spans="2:27">
      <c r="B8" s="250" t="s">
        <v>229</v>
      </c>
      <c r="C8" s="284" t="s">
        <v>102</v>
      </c>
      <c r="D8" s="159">
        <f t="shared" si="0"/>
        <v>0</v>
      </c>
      <c r="E8" s="159">
        <f t="shared" si="0"/>
        <v>0</v>
      </c>
      <c r="F8" s="159">
        <f t="shared" si="0"/>
        <v>0</v>
      </c>
      <c r="G8" s="159">
        <f t="shared" si="0"/>
        <v>0</v>
      </c>
      <c r="H8" s="159">
        <f t="shared" si="0"/>
        <v>0</v>
      </c>
      <c r="I8" s="159">
        <f t="shared" si="0"/>
        <v>0</v>
      </c>
      <c r="J8" s="159">
        <f t="shared" si="0"/>
        <v>0</v>
      </c>
      <c r="K8" s="159">
        <f t="shared" si="0"/>
        <v>0</v>
      </c>
      <c r="L8" s="159">
        <f t="shared" si="0"/>
        <v>0</v>
      </c>
      <c r="M8" s="159">
        <f t="shared" si="0"/>
        <v>0</v>
      </c>
      <c r="N8" s="159">
        <f t="shared" si="1"/>
        <v>0</v>
      </c>
      <c r="O8" s="159">
        <f t="shared" si="1"/>
        <v>0</v>
      </c>
      <c r="P8" s="159">
        <f t="shared" si="1"/>
        <v>0</v>
      </c>
      <c r="Q8" s="159">
        <f t="shared" si="1"/>
        <v>0</v>
      </c>
      <c r="R8" s="159">
        <f t="shared" si="1"/>
        <v>0</v>
      </c>
      <c r="S8" s="159">
        <f t="shared" si="1"/>
        <v>0</v>
      </c>
      <c r="T8" s="159">
        <f t="shared" si="1"/>
        <v>23</v>
      </c>
      <c r="U8" s="159">
        <f t="shared" si="1"/>
        <v>0</v>
      </c>
      <c r="V8" s="159">
        <f t="shared" si="1"/>
        <v>0</v>
      </c>
      <c r="W8" s="159">
        <f t="shared" si="1"/>
        <v>0</v>
      </c>
      <c r="X8" s="159">
        <f t="shared" si="1"/>
        <v>0</v>
      </c>
      <c r="Y8" s="159">
        <f t="shared" si="1"/>
        <v>0</v>
      </c>
      <c r="Z8" s="164">
        <f t="shared" si="2"/>
        <v>23</v>
      </c>
      <c r="AA8" s="158" t="str">
        <f t="shared" si="3"/>
        <v>Feillu</v>
      </c>
    </row>
    <row r="9" spans="2:27">
      <c r="B9" s="250" t="s">
        <v>157</v>
      </c>
      <c r="C9" s="284" t="s">
        <v>68</v>
      </c>
      <c r="D9" s="159">
        <f t="shared" si="0"/>
        <v>0</v>
      </c>
      <c r="E9" s="159">
        <f t="shared" si="0"/>
        <v>0</v>
      </c>
      <c r="F9" s="159">
        <f t="shared" si="0"/>
        <v>0</v>
      </c>
      <c r="G9" s="159">
        <f t="shared" si="0"/>
        <v>18</v>
      </c>
      <c r="H9" s="159">
        <f t="shared" si="0"/>
        <v>0</v>
      </c>
      <c r="I9" s="159">
        <f t="shared" si="0"/>
        <v>9</v>
      </c>
      <c r="J9" s="159">
        <f t="shared" si="0"/>
        <v>7</v>
      </c>
      <c r="K9" s="159">
        <f t="shared" si="0"/>
        <v>10</v>
      </c>
      <c r="L9" s="159">
        <f t="shared" si="0"/>
        <v>0</v>
      </c>
      <c r="M9" s="159">
        <f t="shared" si="0"/>
        <v>0</v>
      </c>
      <c r="N9" s="159">
        <f t="shared" si="1"/>
        <v>0</v>
      </c>
      <c r="O9" s="159">
        <f t="shared" si="1"/>
        <v>0</v>
      </c>
      <c r="P9" s="159">
        <f t="shared" si="1"/>
        <v>0</v>
      </c>
      <c r="Q9" s="159">
        <f t="shared" si="1"/>
        <v>0</v>
      </c>
      <c r="R9" s="159">
        <f t="shared" si="1"/>
        <v>0</v>
      </c>
      <c r="S9" s="159">
        <f t="shared" si="1"/>
        <v>0</v>
      </c>
      <c r="T9" s="159">
        <f t="shared" si="1"/>
        <v>0</v>
      </c>
      <c r="U9" s="159">
        <f t="shared" si="1"/>
        <v>0</v>
      </c>
      <c r="V9" s="159">
        <f t="shared" si="1"/>
        <v>0</v>
      </c>
      <c r="W9" s="159">
        <f t="shared" si="1"/>
        <v>0</v>
      </c>
      <c r="X9" s="159">
        <f t="shared" si="1"/>
        <v>0</v>
      </c>
      <c r="Y9" s="159">
        <f t="shared" si="1"/>
        <v>0</v>
      </c>
      <c r="Z9" s="164">
        <f t="shared" si="2"/>
        <v>44</v>
      </c>
      <c r="AA9" s="158" t="str">
        <f t="shared" si="3"/>
        <v>Sanchez</v>
      </c>
    </row>
    <row r="10" spans="2:27">
      <c r="B10" s="250" t="s">
        <v>163</v>
      </c>
      <c r="C10" s="284" t="s">
        <v>74</v>
      </c>
      <c r="D10" s="159">
        <f t="shared" si="0"/>
        <v>0</v>
      </c>
      <c r="E10" s="159">
        <f t="shared" si="0"/>
        <v>0</v>
      </c>
      <c r="F10" s="159">
        <f t="shared" si="0"/>
        <v>0</v>
      </c>
      <c r="G10" s="159">
        <f t="shared" si="0"/>
        <v>4</v>
      </c>
      <c r="H10" s="159">
        <f t="shared" si="0"/>
        <v>4</v>
      </c>
      <c r="I10" s="159">
        <f t="shared" si="0"/>
        <v>4</v>
      </c>
      <c r="J10" s="159">
        <f t="shared" si="0"/>
        <v>4</v>
      </c>
      <c r="K10" s="159">
        <f t="shared" si="0"/>
        <v>0</v>
      </c>
      <c r="L10" s="159">
        <f t="shared" si="0"/>
        <v>0</v>
      </c>
      <c r="M10" s="159">
        <f t="shared" si="0"/>
        <v>0</v>
      </c>
      <c r="N10" s="159">
        <f t="shared" si="1"/>
        <v>0</v>
      </c>
      <c r="O10" s="159">
        <f t="shared" si="1"/>
        <v>0</v>
      </c>
      <c r="P10" s="159">
        <f t="shared" si="1"/>
        <v>0</v>
      </c>
      <c r="Q10" s="159">
        <f t="shared" si="1"/>
        <v>0</v>
      </c>
      <c r="R10" s="159">
        <f t="shared" si="1"/>
        <v>0</v>
      </c>
      <c r="S10" s="159">
        <f t="shared" si="1"/>
        <v>0</v>
      </c>
      <c r="T10" s="159">
        <f t="shared" si="1"/>
        <v>0</v>
      </c>
      <c r="U10" s="159">
        <f t="shared" si="1"/>
        <v>6</v>
      </c>
      <c r="V10" s="159">
        <f t="shared" si="1"/>
        <v>0</v>
      </c>
      <c r="W10" s="159">
        <f t="shared" si="1"/>
        <v>0</v>
      </c>
      <c r="X10" s="159">
        <f t="shared" si="1"/>
        <v>0</v>
      </c>
      <c r="Y10" s="159">
        <f t="shared" si="1"/>
        <v>0</v>
      </c>
      <c r="Z10" s="164">
        <f t="shared" si="2"/>
        <v>22</v>
      </c>
      <c r="AA10" s="158" t="str">
        <f t="shared" si="3"/>
        <v>Basso</v>
      </c>
    </row>
    <row r="11" spans="2:27">
      <c r="B11" s="250" t="s">
        <v>194</v>
      </c>
      <c r="C11" s="284" t="s">
        <v>85</v>
      </c>
      <c r="D11" s="159">
        <f t="shared" si="0"/>
        <v>29</v>
      </c>
      <c r="E11" s="159">
        <f t="shared" si="0"/>
        <v>35</v>
      </c>
      <c r="F11" s="159">
        <f t="shared" si="0"/>
        <v>14</v>
      </c>
      <c r="G11" s="159">
        <f t="shared" si="0"/>
        <v>38</v>
      </c>
      <c r="H11" s="159">
        <f t="shared" si="0"/>
        <v>24</v>
      </c>
      <c r="I11" s="159">
        <f t="shared" si="0"/>
        <v>6</v>
      </c>
      <c r="J11" s="159">
        <f t="shared" si="0"/>
        <v>0</v>
      </c>
      <c r="K11" s="159">
        <f t="shared" si="0"/>
        <v>0</v>
      </c>
      <c r="L11" s="159">
        <f t="shared" si="0"/>
        <v>0</v>
      </c>
      <c r="M11" s="159">
        <f t="shared" si="0"/>
        <v>0</v>
      </c>
      <c r="N11" s="159">
        <f t="shared" si="1"/>
        <v>0</v>
      </c>
      <c r="O11" s="159">
        <f t="shared" si="1"/>
        <v>0</v>
      </c>
      <c r="P11" s="159">
        <f t="shared" si="1"/>
        <v>0</v>
      </c>
      <c r="Q11" s="159">
        <f t="shared" si="1"/>
        <v>27</v>
      </c>
      <c r="R11" s="159">
        <f t="shared" si="1"/>
        <v>1</v>
      </c>
      <c r="S11" s="159">
        <f t="shared" si="1"/>
        <v>1</v>
      </c>
      <c r="T11" s="159">
        <f t="shared" si="1"/>
        <v>1</v>
      </c>
      <c r="U11" s="159">
        <f t="shared" si="1"/>
        <v>1</v>
      </c>
      <c r="V11" s="159">
        <f t="shared" si="1"/>
        <v>14</v>
      </c>
      <c r="W11" s="159">
        <f t="shared" si="1"/>
        <v>1</v>
      </c>
      <c r="X11" s="159">
        <f t="shared" si="1"/>
        <v>18</v>
      </c>
      <c r="Y11" s="159">
        <f t="shared" si="1"/>
        <v>1</v>
      </c>
      <c r="Z11" s="164">
        <f t="shared" si="2"/>
        <v>211</v>
      </c>
      <c r="AA11" s="158" t="str">
        <f t="shared" si="3"/>
        <v>Boasson Hagen</v>
      </c>
    </row>
    <row r="12" spans="2:27">
      <c r="B12" s="250" t="s">
        <v>230</v>
      </c>
      <c r="C12" s="284" t="s">
        <v>143</v>
      </c>
      <c r="D12" s="159">
        <f t="shared" si="0"/>
        <v>0</v>
      </c>
      <c r="E12" s="159">
        <f t="shared" si="0"/>
        <v>20</v>
      </c>
      <c r="F12" s="159">
        <f t="shared" si="0"/>
        <v>0</v>
      </c>
      <c r="G12" s="159">
        <f t="shared" si="0"/>
        <v>0</v>
      </c>
      <c r="H12" s="159">
        <f t="shared" si="0"/>
        <v>0</v>
      </c>
      <c r="I12" s="159">
        <f t="shared" si="0"/>
        <v>0</v>
      </c>
      <c r="J12" s="159">
        <f t="shared" si="0"/>
        <v>0</v>
      </c>
      <c r="K12" s="159">
        <f t="shared" si="0"/>
        <v>0</v>
      </c>
      <c r="L12" s="159">
        <f t="shared" si="0"/>
        <v>0</v>
      </c>
      <c r="M12" s="159">
        <f t="shared" si="0"/>
        <v>0</v>
      </c>
      <c r="N12" s="159">
        <f t="shared" si="1"/>
        <v>9</v>
      </c>
      <c r="O12" s="159">
        <f t="shared" si="1"/>
        <v>0</v>
      </c>
      <c r="P12" s="159">
        <f t="shared" si="1"/>
        <v>0</v>
      </c>
      <c r="Q12" s="159">
        <f t="shared" si="1"/>
        <v>0</v>
      </c>
      <c r="R12" s="159">
        <f t="shared" si="1"/>
        <v>0</v>
      </c>
      <c r="S12" s="159">
        <f t="shared" si="1"/>
        <v>0</v>
      </c>
      <c r="T12" s="159">
        <f t="shared" si="1"/>
        <v>8</v>
      </c>
      <c r="U12" s="159">
        <f t="shared" si="1"/>
        <v>36</v>
      </c>
      <c r="V12" s="159">
        <f t="shared" si="1"/>
        <v>1</v>
      </c>
      <c r="W12" s="159">
        <f t="shared" si="1"/>
        <v>1</v>
      </c>
      <c r="X12" s="159">
        <f t="shared" si="1"/>
        <v>1</v>
      </c>
      <c r="Y12" s="159">
        <f t="shared" si="1"/>
        <v>13</v>
      </c>
      <c r="Z12" s="164">
        <f t="shared" si="2"/>
        <v>89</v>
      </c>
      <c r="AA12" s="158" t="str">
        <f t="shared" si="3"/>
        <v>Valverde</v>
      </c>
    </row>
    <row r="13" spans="2:27">
      <c r="B13" s="250" t="s">
        <v>150</v>
      </c>
      <c r="C13" s="284" t="s">
        <v>75</v>
      </c>
      <c r="D13" s="159">
        <f t="shared" si="0"/>
        <v>0</v>
      </c>
      <c r="E13" s="159">
        <f t="shared" si="0"/>
        <v>0</v>
      </c>
      <c r="F13" s="159">
        <f t="shared" si="0"/>
        <v>39</v>
      </c>
      <c r="G13" s="159">
        <f t="shared" si="0"/>
        <v>3</v>
      </c>
      <c r="H13" s="159">
        <f t="shared" si="0"/>
        <v>2</v>
      </c>
      <c r="I13" s="159">
        <f t="shared" si="0"/>
        <v>24</v>
      </c>
      <c r="J13" s="159">
        <f t="shared" si="0"/>
        <v>2</v>
      </c>
      <c r="K13" s="159">
        <f t="shared" si="0"/>
        <v>2</v>
      </c>
      <c r="L13" s="159">
        <f t="shared" si="0"/>
        <v>2</v>
      </c>
      <c r="M13" s="159">
        <f t="shared" si="0"/>
        <v>2</v>
      </c>
      <c r="N13" s="159">
        <f t="shared" si="1"/>
        <v>2</v>
      </c>
      <c r="O13" s="159">
        <f t="shared" si="1"/>
        <v>2</v>
      </c>
      <c r="P13" s="159">
        <f t="shared" si="1"/>
        <v>2</v>
      </c>
      <c r="Q13" s="159">
        <f t="shared" si="1"/>
        <v>2</v>
      </c>
      <c r="R13" s="159">
        <f t="shared" si="1"/>
        <v>2</v>
      </c>
      <c r="S13" s="159">
        <f t="shared" si="1"/>
        <v>2</v>
      </c>
      <c r="T13" s="159">
        <f t="shared" si="1"/>
        <v>2</v>
      </c>
      <c r="U13" s="159">
        <f t="shared" si="1"/>
        <v>2</v>
      </c>
      <c r="V13" s="159">
        <f t="shared" si="1"/>
        <v>37</v>
      </c>
      <c r="W13" s="159">
        <f t="shared" si="1"/>
        <v>2</v>
      </c>
      <c r="X13" s="159">
        <f t="shared" si="1"/>
        <v>37</v>
      </c>
      <c r="Y13" s="159">
        <f t="shared" si="1"/>
        <v>3</v>
      </c>
      <c r="Z13" s="164">
        <f t="shared" si="2"/>
        <v>171</v>
      </c>
      <c r="AA13" s="158" t="str">
        <f t="shared" si="3"/>
        <v>Cavendish</v>
      </c>
    </row>
    <row r="14" spans="2:27">
      <c r="B14" s="250" t="s">
        <v>200</v>
      </c>
      <c r="C14" s="284" t="s">
        <v>89</v>
      </c>
      <c r="D14" s="159">
        <f t="shared" ref="D14:M20" si="4">INDEX(scorematrix,MATCH($C14,renners,0),MATCH(D$3,etappes,0))</f>
        <v>0</v>
      </c>
      <c r="E14" s="159">
        <f t="shared" si="4"/>
        <v>0</v>
      </c>
      <c r="F14" s="159">
        <f t="shared" si="4"/>
        <v>0</v>
      </c>
      <c r="G14" s="159">
        <f t="shared" si="4"/>
        <v>0</v>
      </c>
      <c r="H14" s="159">
        <f t="shared" si="4"/>
        <v>0</v>
      </c>
      <c r="I14" s="159">
        <f t="shared" si="4"/>
        <v>0</v>
      </c>
      <c r="J14" s="159">
        <f t="shared" si="4"/>
        <v>0</v>
      </c>
      <c r="K14" s="159">
        <f t="shared" si="4"/>
        <v>0</v>
      </c>
      <c r="L14" s="159">
        <f t="shared" si="4"/>
        <v>0</v>
      </c>
      <c r="M14" s="159">
        <f t="shared" si="4"/>
        <v>0</v>
      </c>
      <c r="N14" s="159">
        <f t="shared" ref="N14:Y20" si="5">INDEX(scorematrix,MATCH($C14,renners,0),MATCH(N$3,etappes,0))</f>
        <v>40</v>
      </c>
      <c r="O14" s="159">
        <f t="shared" si="5"/>
        <v>0</v>
      </c>
      <c r="P14" s="159">
        <f t="shared" si="5"/>
        <v>0</v>
      </c>
      <c r="Q14" s="159">
        <f t="shared" si="5"/>
        <v>0</v>
      </c>
      <c r="R14" s="159">
        <f t="shared" si="5"/>
        <v>2</v>
      </c>
      <c r="S14" s="159">
        <f t="shared" si="5"/>
        <v>27</v>
      </c>
      <c r="T14" s="159">
        <f t="shared" si="5"/>
        <v>40</v>
      </c>
      <c r="U14" s="159">
        <f t="shared" si="5"/>
        <v>5</v>
      </c>
      <c r="V14" s="159">
        <f t="shared" si="5"/>
        <v>5</v>
      </c>
      <c r="W14" s="159">
        <f t="shared" si="5"/>
        <v>5</v>
      </c>
      <c r="X14" s="159">
        <f t="shared" si="5"/>
        <v>5</v>
      </c>
      <c r="Y14" s="159">
        <f t="shared" si="5"/>
        <v>10</v>
      </c>
      <c r="Z14" s="164">
        <f t="shared" si="2"/>
        <v>139</v>
      </c>
      <c r="AA14" s="158" t="str">
        <f t="shared" si="3"/>
        <v>Voeckler</v>
      </c>
    </row>
    <row r="15" spans="2:27">
      <c r="B15" s="250" t="s">
        <v>231</v>
      </c>
      <c r="C15" s="284" t="s">
        <v>83</v>
      </c>
      <c r="D15" s="159">
        <f t="shared" si="4"/>
        <v>0</v>
      </c>
      <c r="E15" s="159">
        <f t="shared" si="4"/>
        <v>0</v>
      </c>
      <c r="F15" s="159">
        <f t="shared" si="4"/>
        <v>22</v>
      </c>
      <c r="G15" s="159">
        <f t="shared" si="4"/>
        <v>0</v>
      </c>
      <c r="H15" s="159">
        <f t="shared" si="4"/>
        <v>30</v>
      </c>
      <c r="I15" s="159">
        <f t="shared" si="4"/>
        <v>19</v>
      </c>
      <c r="J15" s="159">
        <f t="shared" si="4"/>
        <v>20</v>
      </c>
      <c r="K15" s="159">
        <f t="shared" si="4"/>
        <v>1</v>
      </c>
      <c r="L15" s="159">
        <f t="shared" si="4"/>
        <v>1</v>
      </c>
      <c r="M15" s="159">
        <f t="shared" si="4"/>
        <v>1</v>
      </c>
      <c r="N15" s="159">
        <f t="shared" si="5"/>
        <v>1</v>
      </c>
      <c r="O15" s="159">
        <f t="shared" si="5"/>
        <v>1</v>
      </c>
      <c r="P15" s="159">
        <f t="shared" si="5"/>
        <v>0</v>
      </c>
      <c r="Q15" s="159">
        <f t="shared" si="5"/>
        <v>0</v>
      </c>
      <c r="R15" s="159">
        <f t="shared" si="5"/>
        <v>0</v>
      </c>
      <c r="S15" s="159">
        <f t="shared" si="5"/>
        <v>0</v>
      </c>
      <c r="T15" s="159">
        <f t="shared" si="5"/>
        <v>0</v>
      </c>
      <c r="U15" s="159">
        <f t="shared" si="5"/>
        <v>0</v>
      </c>
      <c r="V15" s="159">
        <f t="shared" si="5"/>
        <v>0</v>
      </c>
      <c r="W15" s="159">
        <f t="shared" si="5"/>
        <v>0</v>
      </c>
      <c r="X15" s="159">
        <f t="shared" si="5"/>
        <v>0</v>
      </c>
      <c r="Y15" s="159">
        <f t="shared" si="5"/>
        <v>0</v>
      </c>
      <c r="Z15" s="164">
        <f t="shared" si="2"/>
        <v>96</v>
      </c>
      <c r="AA15" s="158" t="str">
        <f t="shared" si="3"/>
        <v>Petacchi</v>
      </c>
    </row>
    <row r="16" spans="2:27">
      <c r="B16" s="250" t="s">
        <v>134</v>
      </c>
      <c r="C16" s="284" t="s">
        <v>87</v>
      </c>
      <c r="D16" s="159">
        <f t="shared" si="4"/>
        <v>0</v>
      </c>
      <c r="E16" s="159">
        <f t="shared" si="4"/>
        <v>0</v>
      </c>
      <c r="F16" s="159">
        <f t="shared" si="4"/>
        <v>15</v>
      </c>
      <c r="G16" s="159">
        <f t="shared" si="4"/>
        <v>0</v>
      </c>
      <c r="H16" s="159">
        <f t="shared" si="4"/>
        <v>0</v>
      </c>
      <c r="I16" s="159">
        <f t="shared" si="4"/>
        <v>0</v>
      </c>
      <c r="J16" s="159">
        <f t="shared" si="4"/>
        <v>0</v>
      </c>
      <c r="K16" s="159">
        <f t="shared" si="4"/>
        <v>0</v>
      </c>
      <c r="L16" s="159">
        <f t="shared" si="4"/>
        <v>0</v>
      </c>
      <c r="M16" s="159">
        <f t="shared" si="4"/>
        <v>0</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15</v>
      </c>
      <c r="AA16" s="158" t="str">
        <f t="shared" si="3"/>
        <v>Rojas</v>
      </c>
    </row>
    <row r="17" spans="2:27">
      <c r="B17" s="250" t="s">
        <v>140</v>
      </c>
      <c r="C17" s="284" t="s">
        <v>88</v>
      </c>
      <c r="D17" s="159">
        <f t="shared" si="4"/>
        <v>0</v>
      </c>
      <c r="E17" s="159">
        <f t="shared" si="4"/>
        <v>0</v>
      </c>
      <c r="F17" s="159">
        <f t="shared" si="4"/>
        <v>0</v>
      </c>
      <c r="G17" s="159">
        <f t="shared" si="4"/>
        <v>0</v>
      </c>
      <c r="H17" s="159">
        <f t="shared" si="4"/>
        <v>0</v>
      </c>
      <c r="I17" s="159">
        <f t="shared" si="4"/>
        <v>0</v>
      </c>
      <c r="J17" s="159">
        <f t="shared" si="4"/>
        <v>0</v>
      </c>
      <c r="K17" s="159">
        <f t="shared" si="4"/>
        <v>29</v>
      </c>
      <c r="L17" s="159">
        <f t="shared" si="4"/>
        <v>1</v>
      </c>
      <c r="M17" s="159">
        <f t="shared" si="4"/>
        <v>0</v>
      </c>
      <c r="N17" s="159">
        <f t="shared" si="5"/>
        <v>0</v>
      </c>
      <c r="O17" s="159">
        <f t="shared" si="5"/>
        <v>0</v>
      </c>
      <c r="P17" s="159">
        <f t="shared" si="5"/>
        <v>0</v>
      </c>
      <c r="Q17" s="159">
        <f t="shared" si="5"/>
        <v>0</v>
      </c>
      <c r="R17" s="159">
        <f t="shared" si="5"/>
        <v>0</v>
      </c>
      <c r="S17" s="159">
        <f t="shared" si="5"/>
        <v>0</v>
      </c>
      <c r="T17" s="159">
        <f t="shared" si="5"/>
        <v>0</v>
      </c>
      <c r="U17" s="159">
        <f t="shared" si="5"/>
        <v>0</v>
      </c>
      <c r="V17" s="159">
        <f t="shared" si="5"/>
        <v>0</v>
      </c>
      <c r="W17" s="159">
        <f t="shared" si="5"/>
        <v>17</v>
      </c>
      <c r="X17" s="159">
        <f t="shared" si="5"/>
        <v>0</v>
      </c>
      <c r="Y17" s="159">
        <f t="shared" si="5"/>
        <v>0</v>
      </c>
      <c r="Z17" s="164">
        <f t="shared" si="2"/>
        <v>47</v>
      </c>
      <c r="AA17" s="158" t="str">
        <f t="shared" si="3"/>
        <v>Taaramae</v>
      </c>
    </row>
    <row r="18" spans="2:27">
      <c r="B18" s="250" t="s">
        <v>200</v>
      </c>
      <c r="C18" s="284" t="s">
        <v>101</v>
      </c>
      <c r="D18" s="159">
        <f t="shared" si="4"/>
        <v>0</v>
      </c>
      <c r="E18" s="159">
        <f t="shared" si="4"/>
        <v>0</v>
      </c>
      <c r="F18" s="159">
        <f t="shared" si="4"/>
        <v>0</v>
      </c>
      <c r="G18" s="159">
        <f t="shared" si="4"/>
        <v>0</v>
      </c>
      <c r="H18" s="159">
        <f t="shared" si="4"/>
        <v>0</v>
      </c>
      <c r="I18" s="159">
        <f t="shared" si="4"/>
        <v>0</v>
      </c>
      <c r="J18" s="159">
        <f t="shared" si="4"/>
        <v>0</v>
      </c>
      <c r="K18" s="159">
        <f t="shared" si="4"/>
        <v>0</v>
      </c>
      <c r="L18" s="159">
        <f t="shared" si="4"/>
        <v>0</v>
      </c>
      <c r="M18" s="159">
        <f t="shared" si="4"/>
        <v>0</v>
      </c>
      <c r="N18" s="159">
        <f t="shared" si="5"/>
        <v>0</v>
      </c>
      <c r="O18" s="159">
        <f t="shared" si="5"/>
        <v>0</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0</v>
      </c>
      <c r="AA18" s="158" t="str">
        <f t="shared" si="3"/>
        <v>Danielson</v>
      </c>
    </row>
    <row r="19" spans="2:27">
      <c r="B19" s="250" t="s">
        <v>154</v>
      </c>
      <c r="C19" s="284" t="s">
        <v>99</v>
      </c>
      <c r="D19" s="159">
        <f t="shared" si="4"/>
        <v>0</v>
      </c>
      <c r="E19" s="159">
        <f t="shared" si="4"/>
        <v>0</v>
      </c>
      <c r="F19" s="159">
        <f t="shared" si="4"/>
        <v>30</v>
      </c>
      <c r="G19" s="159">
        <f t="shared" si="4"/>
        <v>0</v>
      </c>
      <c r="H19" s="159">
        <f t="shared" si="4"/>
        <v>38</v>
      </c>
      <c r="I19" s="159">
        <f t="shared" si="4"/>
        <v>38</v>
      </c>
      <c r="J19" s="159">
        <f t="shared" si="4"/>
        <v>33</v>
      </c>
      <c r="K19" s="159">
        <f t="shared" si="4"/>
        <v>3</v>
      </c>
      <c r="L19" s="159">
        <f t="shared" si="4"/>
        <v>3</v>
      </c>
      <c r="M19" s="159">
        <f t="shared" si="4"/>
        <v>3</v>
      </c>
      <c r="N19" s="159">
        <f t="shared" si="5"/>
        <v>3</v>
      </c>
      <c r="O19" s="159">
        <f t="shared" si="5"/>
        <v>3</v>
      </c>
      <c r="P19" s="159">
        <f t="shared" si="5"/>
        <v>3</v>
      </c>
      <c r="Q19" s="159">
        <f t="shared" si="5"/>
        <v>39</v>
      </c>
      <c r="R19" s="159">
        <f t="shared" si="5"/>
        <v>4</v>
      </c>
      <c r="S19" s="159">
        <f t="shared" si="5"/>
        <v>23</v>
      </c>
      <c r="T19" s="159">
        <f t="shared" si="5"/>
        <v>4</v>
      </c>
      <c r="U19" s="159">
        <f t="shared" si="5"/>
        <v>4</v>
      </c>
      <c r="V19" s="159">
        <f t="shared" si="5"/>
        <v>19</v>
      </c>
      <c r="W19" s="159">
        <f t="shared" si="5"/>
        <v>4</v>
      </c>
      <c r="X19" s="159">
        <f t="shared" si="5"/>
        <v>22</v>
      </c>
      <c r="Y19" s="159">
        <f t="shared" si="5"/>
        <v>7</v>
      </c>
      <c r="Z19" s="164">
        <f t="shared" si="2"/>
        <v>283</v>
      </c>
      <c r="AA19" s="158" t="str">
        <f>C19</f>
        <v>Greipel</v>
      </c>
    </row>
    <row r="20" spans="2:27" s="218" customFormat="1">
      <c r="B20" s="250" t="s">
        <v>71</v>
      </c>
      <c r="C20" s="284" t="s">
        <v>72</v>
      </c>
      <c r="D20" s="159">
        <f t="shared" si="4"/>
        <v>43</v>
      </c>
      <c r="E20" s="159">
        <f t="shared" si="4"/>
        <v>19</v>
      </c>
      <c r="F20" s="159">
        <f t="shared" si="4"/>
        <v>9</v>
      </c>
      <c r="G20" s="159">
        <f t="shared" si="4"/>
        <v>9</v>
      </c>
      <c r="H20" s="159">
        <f t="shared" si="4"/>
        <v>9</v>
      </c>
      <c r="I20" s="159">
        <f t="shared" si="4"/>
        <v>17</v>
      </c>
      <c r="J20" s="159">
        <f t="shared" si="4"/>
        <v>9</v>
      </c>
      <c r="K20" s="159">
        <f t="shared" si="4"/>
        <v>39</v>
      </c>
      <c r="L20" s="159">
        <f t="shared" si="4"/>
        <v>35</v>
      </c>
      <c r="M20" s="159">
        <f t="shared" si="4"/>
        <v>46</v>
      </c>
      <c r="N20" s="159">
        <f t="shared" si="5"/>
        <v>23</v>
      </c>
      <c r="O20" s="159">
        <f t="shared" si="5"/>
        <v>30</v>
      </c>
      <c r="P20" s="159">
        <f t="shared" si="5"/>
        <v>24</v>
      </c>
      <c r="Q20" s="159">
        <f t="shared" si="5"/>
        <v>24</v>
      </c>
      <c r="R20" s="159">
        <f t="shared" si="5"/>
        <v>21</v>
      </c>
      <c r="S20" s="159">
        <f t="shared" si="5"/>
        <v>10</v>
      </c>
      <c r="T20" s="159">
        <f t="shared" si="5"/>
        <v>24</v>
      </c>
      <c r="U20" s="159">
        <f t="shared" si="5"/>
        <v>36</v>
      </c>
      <c r="V20" s="159">
        <f t="shared" si="5"/>
        <v>17</v>
      </c>
      <c r="W20" s="159">
        <f t="shared" si="5"/>
        <v>45</v>
      </c>
      <c r="X20" s="159">
        <f t="shared" si="5"/>
        <v>10</v>
      </c>
      <c r="Y20" s="159">
        <f t="shared" si="5"/>
        <v>70</v>
      </c>
      <c r="Z20" s="164">
        <f t="shared" si="2"/>
        <v>569</v>
      </c>
      <c r="AA20" s="158" t="str">
        <f>C20</f>
        <v>Wiggins</v>
      </c>
    </row>
    <row r="21" spans="2:27" s="219" customFormat="1">
      <c r="B21" s="244"/>
      <c r="C21" s="245"/>
      <c r="D21" s="221"/>
      <c r="E21" s="221"/>
      <c r="F21" s="221"/>
      <c r="G21" s="221"/>
      <c r="H21" s="221"/>
      <c r="I21" s="221"/>
      <c r="J21" s="221"/>
      <c r="K21" s="221"/>
      <c r="L21" s="221"/>
      <c r="M21" s="221"/>
      <c r="N21" s="221"/>
      <c r="O21" s="221">
        <f>O25</f>
        <v>36</v>
      </c>
      <c r="P21" s="221"/>
      <c r="Q21" s="221"/>
      <c r="R21" s="221"/>
      <c r="S21" s="221"/>
      <c r="T21" s="221"/>
      <c r="U21" s="221"/>
      <c r="V21" s="221"/>
      <c r="W21" s="221"/>
      <c r="X21" s="221"/>
      <c r="Y21" s="221"/>
      <c r="Z21" s="246"/>
    </row>
    <row r="22" spans="2:27" s="162" customFormat="1">
      <c r="B22" s="247"/>
      <c r="C22" s="248"/>
      <c r="D22" s="223">
        <f t="shared" ref="D22:Y22" si="6">SUM(D4:D21)</f>
        <v>111</v>
      </c>
      <c r="E22" s="223">
        <f t="shared" ref="E22" si="7">SUM(E4:E21)</f>
        <v>113</v>
      </c>
      <c r="F22" s="223">
        <f>SUM(F4:F21)</f>
        <v>136</v>
      </c>
      <c r="G22" s="223">
        <f t="shared" si="6"/>
        <v>116</v>
      </c>
      <c r="H22" s="223">
        <f t="shared" si="6"/>
        <v>112</v>
      </c>
      <c r="I22" s="223">
        <f t="shared" si="6"/>
        <v>122</v>
      </c>
      <c r="J22" s="223">
        <f t="shared" si="6"/>
        <v>102</v>
      </c>
      <c r="K22" s="223">
        <f t="shared" si="6"/>
        <v>141</v>
      </c>
      <c r="L22" s="223">
        <f t="shared" si="6"/>
        <v>100</v>
      </c>
      <c r="M22" s="223">
        <f t="shared" si="6"/>
        <v>100</v>
      </c>
      <c r="N22" s="223">
        <f t="shared" si="6"/>
        <v>101</v>
      </c>
      <c r="O22" s="223">
        <f t="shared" si="6"/>
        <v>122</v>
      </c>
      <c r="P22" s="223">
        <f t="shared" si="6"/>
        <v>54</v>
      </c>
      <c r="Q22" s="223">
        <f t="shared" si="6"/>
        <v>135</v>
      </c>
      <c r="R22" s="223">
        <f t="shared" si="6"/>
        <v>71</v>
      </c>
      <c r="S22" s="223">
        <f t="shared" si="6"/>
        <v>70</v>
      </c>
      <c r="T22" s="223">
        <f t="shared" si="6"/>
        <v>106</v>
      </c>
      <c r="U22" s="223">
        <f t="shared" si="6"/>
        <v>118</v>
      </c>
      <c r="V22" s="223">
        <f t="shared" si="6"/>
        <v>110</v>
      </c>
      <c r="W22" s="223">
        <f t="shared" si="6"/>
        <v>86</v>
      </c>
      <c r="X22" s="223">
        <f t="shared" si="6"/>
        <v>97</v>
      </c>
      <c r="Y22" s="223">
        <f t="shared" si="6"/>
        <v>172</v>
      </c>
      <c r="Z22" s="224">
        <f>SUM(Z4:Z21)</f>
        <v>2359</v>
      </c>
    </row>
    <row r="23" spans="2:27" s="225" customFormat="1">
      <c r="B23" s="249"/>
      <c r="C23" s="239"/>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50" t="s">
        <v>133</v>
      </c>
      <c r="C24" s="251" t="s">
        <v>76</v>
      </c>
      <c r="D24" s="295">
        <f t="shared" ref="D24:Y26" si="8">INDEX(scorematrix,MATCH($C24,renners,0),MATCH(D$3,etappes,0))</f>
        <v>0</v>
      </c>
      <c r="E24" s="295">
        <f t="shared" si="8"/>
        <v>0</v>
      </c>
      <c r="F24" s="295">
        <f t="shared" si="8"/>
        <v>16</v>
      </c>
      <c r="G24" s="295">
        <f t="shared" si="8"/>
        <v>0</v>
      </c>
      <c r="H24" s="295">
        <f t="shared" si="8"/>
        <v>0</v>
      </c>
      <c r="I24" s="295">
        <f t="shared" si="8"/>
        <v>0</v>
      </c>
      <c r="J24" s="295">
        <f t="shared" si="8"/>
        <v>0</v>
      </c>
      <c r="K24" s="295">
        <f t="shared" si="8"/>
        <v>0</v>
      </c>
      <c r="L24" s="297">
        <f t="shared" si="8"/>
        <v>0</v>
      </c>
      <c r="M24" s="297">
        <f t="shared" si="8"/>
        <v>0</v>
      </c>
      <c r="N24" s="295">
        <f t="shared" si="8"/>
        <v>0</v>
      </c>
      <c r="O24" s="295">
        <f t="shared" si="8"/>
        <v>0</v>
      </c>
      <c r="P24" s="295">
        <f t="shared" si="8"/>
        <v>0</v>
      </c>
      <c r="Q24" s="296">
        <f t="shared" si="8"/>
        <v>0</v>
      </c>
      <c r="R24" s="295">
        <f t="shared" si="8"/>
        <v>0</v>
      </c>
      <c r="S24" s="295">
        <f t="shared" si="8"/>
        <v>18</v>
      </c>
      <c r="T24" s="295">
        <f t="shared" si="8"/>
        <v>0</v>
      </c>
      <c r="U24" s="295">
        <f t="shared" si="8"/>
        <v>0</v>
      </c>
      <c r="V24" s="295">
        <f t="shared" si="8"/>
        <v>20</v>
      </c>
      <c r="W24" s="295">
        <f t="shared" si="8"/>
        <v>0</v>
      </c>
      <c r="X24" s="295">
        <f t="shared" si="8"/>
        <v>15</v>
      </c>
      <c r="Y24" s="295">
        <f t="shared" si="8"/>
        <v>0</v>
      </c>
      <c r="Z24" s="229">
        <f>SUM(D24:Y24)</f>
        <v>69</v>
      </c>
    </row>
    <row r="25" spans="2:27" s="230" customFormat="1">
      <c r="B25" s="250" t="s">
        <v>192</v>
      </c>
      <c r="C25" s="251" t="s">
        <v>147</v>
      </c>
      <c r="D25" s="295">
        <f t="shared" si="8"/>
        <v>15</v>
      </c>
      <c r="E25" s="295">
        <f t="shared" si="8"/>
        <v>0</v>
      </c>
      <c r="F25" s="295">
        <f t="shared" si="8"/>
        <v>0</v>
      </c>
      <c r="G25" s="295">
        <f t="shared" si="8"/>
        <v>0</v>
      </c>
      <c r="H25" s="295">
        <f t="shared" si="8"/>
        <v>0</v>
      </c>
      <c r="I25" s="295">
        <f t="shared" si="8"/>
        <v>0</v>
      </c>
      <c r="J25" s="295">
        <f t="shared" si="8"/>
        <v>0</v>
      </c>
      <c r="K25" s="295">
        <f t="shared" si="8"/>
        <v>42</v>
      </c>
      <c r="L25" s="297">
        <f t="shared" si="8"/>
        <v>28</v>
      </c>
      <c r="M25" s="297">
        <f t="shared" si="8"/>
        <v>42</v>
      </c>
      <c r="N25" s="295">
        <f t="shared" si="8"/>
        <v>18</v>
      </c>
      <c r="O25" s="296">
        <f t="shared" si="8"/>
        <v>36</v>
      </c>
      <c r="P25" s="295">
        <f t="shared" si="8"/>
        <v>20</v>
      </c>
      <c r="Q25" s="295">
        <f t="shared" si="8"/>
        <v>20</v>
      </c>
      <c r="R25" s="295">
        <f t="shared" si="8"/>
        <v>15</v>
      </c>
      <c r="S25" s="295">
        <f t="shared" si="8"/>
        <v>9</v>
      </c>
      <c r="T25" s="295">
        <f t="shared" si="8"/>
        <v>22</v>
      </c>
      <c r="U25" s="295">
        <f t="shared" si="8"/>
        <v>39</v>
      </c>
      <c r="V25" s="295">
        <f t="shared" si="8"/>
        <v>9</v>
      </c>
      <c r="W25" s="295">
        <f t="shared" si="8"/>
        <v>39</v>
      </c>
      <c r="X25" s="295">
        <f t="shared" si="8"/>
        <v>9</v>
      </c>
      <c r="Y25" s="295">
        <f t="shared" si="8"/>
        <v>60</v>
      </c>
      <c r="Z25" s="229">
        <f>SUM(D25:Y25)</f>
        <v>423</v>
      </c>
    </row>
    <row r="26" spans="2:27" s="230" customFormat="1">
      <c r="B26" s="250" t="s">
        <v>144</v>
      </c>
      <c r="C26" s="251" t="s">
        <v>82</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5">
        <f t="shared" si="8"/>
        <v>14</v>
      </c>
      <c r="N26" s="295">
        <f t="shared" si="8"/>
        <v>0</v>
      </c>
      <c r="O26" s="295">
        <f t="shared" si="8"/>
        <v>0</v>
      </c>
      <c r="P26" s="295">
        <f t="shared" si="8"/>
        <v>0</v>
      </c>
      <c r="Q26" s="295">
        <f t="shared" si="8"/>
        <v>0</v>
      </c>
      <c r="R26" s="295">
        <f t="shared" si="8"/>
        <v>0</v>
      </c>
      <c r="S26" s="295">
        <f t="shared" si="8"/>
        <v>0</v>
      </c>
      <c r="T26" s="295">
        <f t="shared" si="8"/>
        <v>0</v>
      </c>
      <c r="U26" s="295">
        <f t="shared" si="8"/>
        <v>0</v>
      </c>
      <c r="V26" s="295">
        <f t="shared" si="8"/>
        <v>0</v>
      </c>
      <c r="W26" s="295">
        <f t="shared" si="8"/>
        <v>0</v>
      </c>
      <c r="X26" s="295">
        <f t="shared" si="8"/>
        <v>0</v>
      </c>
      <c r="Y26" s="295">
        <f t="shared" si="8"/>
        <v>0</v>
      </c>
      <c r="Z26" s="229">
        <f>SUM(D26:Y26)</f>
        <v>14</v>
      </c>
    </row>
    <row r="27" spans="2:27" s="225" customFormat="1">
      <c r="C27" s="171"/>
      <c r="D27" s="194"/>
      <c r="E27" s="194"/>
      <c r="F27" s="194"/>
      <c r="G27" s="226"/>
      <c r="H27" s="194"/>
      <c r="I27" s="194"/>
      <c r="J27" s="194"/>
      <c r="K27" s="194"/>
      <c r="L27" s="194"/>
      <c r="M27" s="194"/>
      <c r="N27" s="194"/>
      <c r="O27" s="194"/>
      <c r="Z27" s="231"/>
    </row>
    <row r="28" spans="2:27" s="225" customFormat="1">
      <c r="C28" s="232"/>
      <c r="D28" s="194"/>
      <c r="E28" s="194"/>
      <c r="F28" s="194"/>
      <c r="G28" s="226"/>
      <c r="H28" s="194"/>
      <c r="I28" s="194"/>
      <c r="J28" s="194"/>
      <c r="K28" s="194"/>
      <c r="L28" s="194"/>
      <c r="M28" s="194"/>
      <c r="N28" s="194"/>
      <c r="O28" s="194"/>
      <c r="Z28" s="231"/>
    </row>
    <row r="29" spans="2:27" s="225" customFormat="1">
      <c r="C29" s="171"/>
      <c r="D29" s="194"/>
      <c r="E29" s="194"/>
      <c r="F29" s="194"/>
      <c r="G29" s="226"/>
      <c r="H29" s="194"/>
      <c r="I29" s="194"/>
      <c r="J29" s="194"/>
      <c r="K29" s="194"/>
      <c r="L29" s="194"/>
      <c r="M29" s="194"/>
      <c r="N29" s="194"/>
      <c r="O29" s="194"/>
      <c r="Z29" s="231"/>
    </row>
    <row r="30" spans="2:27" s="225" customFormat="1">
      <c r="C30" s="171"/>
      <c r="D30" s="194"/>
      <c r="E30" s="194"/>
      <c r="F30" s="194"/>
      <c r="G30" s="226"/>
      <c r="H30" s="194"/>
      <c r="I30" s="194"/>
      <c r="J30" s="194"/>
      <c r="K30" s="194"/>
      <c r="L30" s="194"/>
      <c r="M30" s="194"/>
      <c r="N30" s="194"/>
      <c r="O30" s="194"/>
      <c r="Z30" s="231"/>
    </row>
    <row r="31" spans="2:27" s="225" customFormat="1">
      <c r="C31" s="158"/>
      <c r="D31" s="194"/>
      <c r="E31" s="194"/>
      <c r="F31" s="194"/>
      <c r="G31" s="226"/>
      <c r="H31" s="194"/>
      <c r="I31" s="194"/>
      <c r="J31" s="194"/>
      <c r="K31" s="194"/>
      <c r="L31" s="194"/>
      <c r="M31" s="194"/>
      <c r="N31" s="194"/>
      <c r="O31" s="194"/>
      <c r="Z31" s="231"/>
    </row>
    <row r="32" spans="2:27" s="234" customFormat="1">
      <c r="C32" s="158"/>
      <c r="D32" s="235"/>
      <c r="E32" s="235"/>
      <c r="F32" s="235"/>
      <c r="G32" s="236"/>
      <c r="H32" s="190"/>
      <c r="I32" s="190"/>
      <c r="J32" s="190"/>
      <c r="K32" s="190"/>
      <c r="L32" s="190"/>
      <c r="M32" s="190"/>
      <c r="N32" s="190"/>
      <c r="O32" s="190"/>
      <c r="P32" s="237"/>
      <c r="Z32" s="180"/>
    </row>
    <row r="33" spans="3:26" s="234" customFormat="1">
      <c r="C33" s="158"/>
      <c r="D33" s="235"/>
      <c r="E33" s="235"/>
      <c r="F33" s="235"/>
      <c r="G33" s="236"/>
      <c r="H33" s="190"/>
      <c r="I33" s="190"/>
      <c r="J33" s="190"/>
      <c r="K33" s="190"/>
      <c r="L33" s="190"/>
      <c r="M33" s="190"/>
      <c r="N33" s="190"/>
      <c r="O33" s="190"/>
      <c r="P33" s="237"/>
      <c r="Z33" s="180"/>
    </row>
    <row r="34" spans="3:26" s="234" customFormat="1">
      <c r="C34" s="158"/>
      <c r="D34" s="235"/>
      <c r="E34" s="235"/>
      <c r="F34" s="235"/>
      <c r="G34" s="236"/>
      <c r="H34" s="190"/>
      <c r="I34" s="190"/>
      <c r="J34" s="190"/>
      <c r="K34" s="190"/>
      <c r="L34" s="190"/>
      <c r="M34" s="190"/>
      <c r="N34" s="190"/>
      <c r="O34" s="190"/>
      <c r="P34" s="237"/>
      <c r="Z34" s="180"/>
    </row>
    <row r="35" spans="3:26" s="234" customFormat="1">
      <c r="C35" s="158"/>
      <c r="D35" s="235"/>
      <c r="E35" s="235"/>
      <c r="F35" s="235"/>
      <c r="G35" s="236"/>
      <c r="H35" s="190"/>
      <c r="I35" s="190"/>
      <c r="J35" s="190"/>
      <c r="K35" s="190"/>
      <c r="L35" s="190"/>
      <c r="M35" s="190"/>
      <c r="N35" s="190"/>
      <c r="O35" s="190"/>
      <c r="P35" s="237"/>
      <c r="Z35" s="180"/>
    </row>
    <row r="36" spans="3:26" s="234" customFormat="1">
      <c r="C36" s="158"/>
      <c r="D36" s="235"/>
      <c r="E36" s="235"/>
      <c r="F36" s="235"/>
      <c r="G36" s="236"/>
      <c r="H36" s="190"/>
      <c r="I36" s="190"/>
      <c r="J36" s="190"/>
      <c r="K36" s="190"/>
      <c r="L36" s="190"/>
      <c r="M36" s="190"/>
      <c r="N36" s="190"/>
      <c r="O36" s="190"/>
      <c r="P36" s="237"/>
      <c r="Z36" s="180"/>
    </row>
    <row r="37" spans="3:26" s="234" customFormat="1">
      <c r="C37" s="158"/>
      <c r="D37" s="235"/>
      <c r="E37" s="235"/>
      <c r="F37" s="235"/>
      <c r="G37" s="236"/>
      <c r="H37" s="190"/>
      <c r="I37" s="190"/>
      <c r="J37" s="190"/>
      <c r="K37" s="190"/>
      <c r="L37" s="190"/>
      <c r="M37" s="190"/>
      <c r="N37" s="190"/>
      <c r="O37" s="190"/>
      <c r="P37" s="237"/>
      <c r="Z37" s="180"/>
    </row>
    <row r="38" spans="3:26" s="234" customFormat="1">
      <c r="C38" s="158"/>
      <c r="D38" s="235"/>
      <c r="E38" s="235"/>
      <c r="F38" s="235"/>
      <c r="G38" s="236"/>
      <c r="H38" s="190"/>
      <c r="I38" s="190"/>
      <c r="J38" s="190"/>
      <c r="K38" s="190"/>
      <c r="L38" s="190"/>
      <c r="M38" s="190"/>
      <c r="N38" s="190"/>
      <c r="O38" s="190"/>
      <c r="P38" s="237"/>
      <c r="Z38" s="180"/>
    </row>
    <row r="39" spans="3:26" s="234" customFormat="1">
      <c r="C39" s="158"/>
      <c r="D39" s="235"/>
      <c r="E39" s="235"/>
      <c r="F39" s="235"/>
      <c r="G39" s="236"/>
      <c r="H39" s="190"/>
      <c r="I39" s="190"/>
      <c r="J39" s="190"/>
      <c r="K39" s="190"/>
      <c r="L39" s="190"/>
      <c r="M39" s="190"/>
      <c r="N39" s="190"/>
      <c r="O39" s="190"/>
      <c r="P39" s="237"/>
      <c r="Z39" s="180"/>
    </row>
    <row r="40" spans="3:26" s="234" customFormat="1">
      <c r="C40" s="158"/>
      <c r="D40" s="235"/>
      <c r="E40" s="235"/>
      <c r="F40" s="235"/>
      <c r="G40" s="236"/>
      <c r="H40" s="190"/>
      <c r="I40" s="190"/>
      <c r="J40" s="190"/>
      <c r="K40" s="190"/>
      <c r="L40" s="190"/>
      <c r="M40" s="190"/>
      <c r="N40" s="190"/>
      <c r="O40" s="190"/>
      <c r="P40" s="237"/>
      <c r="Z40" s="180"/>
    </row>
    <row r="41" spans="3:26" s="234" customFormat="1">
      <c r="C41" s="158"/>
      <c r="D41" s="235"/>
      <c r="E41" s="235"/>
      <c r="F41" s="235"/>
      <c r="G41" s="236"/>
      <c r="H41" s="190"/>
      <c r="I41" s="190"/>
      <c r="J41" s="190"/>
      <c r="K41" s="190"/>
      <c r="L41" s="190"/>
      <c r="M41" s="190"/>
      <c r="N41" s="190"/>
      <c r="O41" s="190"/>
      <c r="P41" s="237"/>
      <c r="Z41" s="180"/>
    </row>
    <row r="42" spans="3:26" s="234" customFormat="1">
      <c r="C42" s="158"/>
      <c r="D42" s="235"/>
      <c r="E42" s="235"/>
      <c r="F42" s="235"/>
      <c r="G42" s="236"/>
      <c r="H42" s="190"/>
      <c r="I42" s="190"/>
      <c r="J42" s="190"/>
      <c r="K42" s="190"/>
      <c r="L42" s="190"/>
      <c r="M42" s="190"/>
      <c r="N42" s="190"/>
      <c r="O42" s="190"/>
      <c r="P42" s="237"/>
      <c r="Z42" s="180"/>
    </row>
    <row r="43" spans="3:26" s="234" customFormat="1">
      <c r="C43" s="158"/>
      <c r="D43" s="235"/>
      <c r="E43" s="235"/>
      <c r="F43" s="235"/>
      <c r="G43" s="236"/>
      <c r="H43" s="190"/>
      <c r="I43" s="190"/>
      <c r="J43" s="190"/>
      <c r="K43" s="190"/>
      <c r="L43" s="190"/>
      <c r="M43" s="190"/>
      <c r="N43" s="190"/>
      <c r="O43" s="190"/>
      <c r="P43" s="237"/>
      <c r="Z43" s="180"/>
    </row>
    <row r="44" spans="3:26" s="234" customFormat="1">
      <c r="C44" s="158"/>
      <c r="D44" s="235"/>
      <c r="E44" s="235"/>
      <c r="F44" s="235"/>
      <c r="G44" s="236"/>
      <c r="H44" s="190"/>
      <c r="I44" s="190"/>
      <c r="J44" s="190"/>
      <c r="K44" s="190"/>
      <c r="L44" s="190"/>
      <c r="M44" s="190"/>
      <c r="N44" s="190"/>
      <c r="O44" s="190"/>
      <c r="P44" s="237"/>
      <c r="Z44" s="180"/>
    </row>
    <row r="45" spans="3:26" s="234" customFormat="1">
      <c r="C45" s="158"/>
      <c r="D45" s="235"/>
      <c r="E45" s="235"/>
      <c r="F45" s="235"/>
      <c r="G45" s="236"/>
      <c r="H45" s="190"/>
      <c r="I45" s="190"/>
      <c r="J45" s="190"/>
      <c r="K45" s="190"/>
      <c r="L45" s="190"/>
      <c r="M45" s="190"/>
      <c r="N45" s="190"/>
      <c r="O45" s="190"/>
      <c r="P45" s="237"/>
      <c r="Z45" s="180"/>
    </row>
    <row r="46" spans="3:26" s="234" customFormat="1">
      <c r="C46" s="158"/>
      <c r="D46" s="235"/>
      <c r="E46" s="235"/>
      <c r="F46" s="235"/>
      <c r="G46" s="236"/>
      <c r="H46" s="190"/>
      <c r="I46" s="190"/>
      <c r="J46" s="190"/>
      <c r="K46" s="190"/>
      <c r="L46" s="190"/>
      <c r="M46" s="190"/>
      <c r="N46" s="190"/>
      <c r="O46" s="190"/>
      <c r="P46" s="237"/>
      <c r="Z46" s="180"/>
    </row>
    <row r="47" spans="3:26" s="234" customFormat="1">
      <c r="C47" s="158"/>
      <c r="D47" s="235"/>
      <c r="E47" s="235"/>
      <c r="F47" s="235"/>
      <c r="G47" s="236"/>
      <c r="H47" s="190"/>
      <c r="I47" s="190"/>
      <c r="J47" s="190"/>
      <c r="K47" s="190"/>
      <c r="L47" s="190"/>
      <c r="M47" s="190"/>
      <c r="N47" s="190"/>
      <c r="O47" s="190"/>
      <c r="P47" s="237"/>
      <c r="Z47" s="180"/>
    </row>
    <row r="48" spans="3:26" s="234" customFormat="1">
      <c r="C48" s="158"/>
      <c r="D48" s="235"/>
      <c r="E48" s="235"/>
      <c r="F48" s="235"/>
      <c r="G48" s="236"/>
      <c r="H48" s="190"/>
      <c r="I48" s="190"/>
      <c r="J48" s="190"/>
      <c r="K48" s="190"/>
      <c r="L48" s="190"/>
      <c r="M48" s="190"/>
      <c r="N48" s="190"/>
      <c r="O48" s="190"/>
      <c r="P48" s="237"/>
      <c r="Z48" s="180"/>
    </row>
    <row r="49" spans="3:26" s="234" customFormat="1">
      <c r="C49" s="158"/>
      <c r="D49" s="235"/>
      <c r="E49" s="235"/>
      <c r="F49" s="235"/>
      <c r="G49" s="236"/>
      <c r="H49" s="190"/>
      <c r="I49" s="190"/>
      <c r="J49" s="190"/>
      <c r="K49" s="190"/>
      <c r="L49" s="190"/>
      <c r="M49" s="190"/>
      <c r="N49" s="190"/>
      <c r="O49" s="190"/>
      <c r="P49" s="237"/>
      <c r="Z49" s="180"/>
    </row>
    <row r="50" spans="3:26" s="234" customFormat="1">
      <c r="C50" s="158"/>
      <c r="D50" s="235"/>
      <c r="E50" s="235"/>
      <c r="F50" s="235"/>
      <c r="G50" s="236"/>
      <c r="H50" s="190"/>
      <c r="I50" s="190"/>
      <c r="J50" s="190"/>
      <c r="K50" s="190"/>
      <c r="L50" s="190"/>
      <c r="M50" s="190"/>
      <c r="N50" s="190"/>
      <c r="O50" s="190"/>
      <c r="P50" s="237"/>
      <c r="Z50" s="180"/>
    </row>
    <row r="51" spans="3:26" s="234" customFormat="1">
      <c r="C51" s="158"/>
      <c r="D51" s="235"/>
      <c r="E51" s="235"/>
      <c r="F51" s="235"/>
      <c r="G51" s="236"/>
      <c r="H51" s="190"/>
      <c r="I51" s="190"/>
      <c r="J51" s="190"/>
      <c r="K51" s="190"/>
      <c r="L51" s="190"/>
      <c r="M51" s="190"/>
      <c r="N51" s="190"/>
      <c r="O51" s="190"/>
      <c r="P51" s="237"/>
      <c r="Z51" s="180"/>
    </row>
    <row r="52" spans="3:26" s="234" customFormat="1">
      <c r="C52" s="158"/>
      <c r="D52" s="235"/>
      <c r="E52" s="235"/>
      <c r="F52" s="235"/>
      <c r="G52" s="236"/>
      <c r="H52" s="190"/>
      <c r="I52" s="190"/>
      <c r="J52" s="190"/>
      <c r="K52" s="190"/>
      <c r="L52" s="190"/>
      <c r="M52" s="190"/>
      <c r="N52" s="190"/>
      <c r="O52" s="190"/>
      <c r="P52" s="237"/>
      <c r="Z52" s="180"/>
    </row>
    <row r="53" spans="3:26" s="234" customFormat="1">
      <c r="C53" s="158"/>
      <c r="D53" s="235"/>
      <c r="E53" s="235"/>
      <c r="F53" s="235"/>
      <c r="G53" s="236"/>
      <c r="H53" s="190"/>
      <c r="I53" s="190"/>
      <c r="J53" s="190"/>
      <c r="K53" s="190"/>
      <c r="L53" s="190"/>
      <c r="M53" s="190"/>
      <c r="N53" s="190"/>
      <c r="O53" s="190"/>
      <c r="P53" s="237"/>
      <c r="Z53" s="180"/>
    </row>
    <row r="54" spans="3:26" s="234" customFormat="1">
      <c r="C54" s="158"/>
      <c r="D54" s="235"/>
      <c r="E54" s="235"/>
      <c r="F54" s="235"/>
      <c r="G54" s="236"/>
      <c r="H54" s="190"/>
      <c r="I54" s="190"/>
      <c r="J54" s="190"/>
      <c r="K54" s="190"/>
      <c r="L54" s="190"/>
      <c r="M54" s="190"/>
      <c r="N54" s="190"/>
      <c r="O54" s="190"/>
      <c r="P54" s="237"/>
      <c r="Z54" s="180"/>
    </row>
    <row r="55" spans="3:26" s="234" customFormat="1">
      <c r="C55" s="158"/>
      <c r="D55" s="235"/>
      <c r="E55" s="235"/>
      <c r="F55" s="235"/>
      <c r="G55" s="236"/>
      <c r="H55" s="190"/>
      <c r="I55" s="190"/>
      <c r="J55" s="190"/>
      <c r="K55" s="190"/>
      <c r="L55" s="190"/>
      <c r="M55" s="190"/>
      <c r="N55" s="190"/>
      <c r="O55" s="190"/>
      <c r="P55" s="237"/>
      <c r="Z55" s="180"/>
    </row>
    <row r="56" spans="3:26" s="234" customFormat="1">
      <c r="C56" s="158"/>
      <c r="D56" s="235"/>
      <c r="E56" s="235"/>
      <c r="F56" s="235"/>
      <c r="G56" s="236"/>
      <c r="H56" s="190"/>
      <c r="I56" s="190"/>
      <c r="J56" s="190"/>
      <c r="K56" s="190"/>
      <c r="L56" s="190"/>
      <c r="M56" s="190"/>
      <c r="N56" s="190"/>
      <c r="O56" s="190"/>
      <c r="P56" s="237"/>
      <c r="Z56" s="180"/>
    </row>
    <row r="57" spans="3:26" s="234" customFormat="1">
      <c r="C57" s="158"/>
      <c r="D57" s="235"/>
      <c r="E57" s="235"/>
      <c r="F57" s="235"/>
      <c r="G57" s="236"/>
      <c r="H57" s="190"/>
      <c r="I57" s="190"/>
      <c r="J57" s="190"/>
      <c r="K57" s="190"/>
      <c r="L57" s="190"/>
      <c r="M57" s="190"/>
      <c r="N57" s="190"/>
      <c r="O57" s="190"/>
      <c r="P57" s="237"/>
      <c r="Z57" s="180"/>
    </row>
    <row r="58" spans="3:26" s="234" customFormat="1">
      <c r="C58" s="158"/>
      <c r="D58" s="235"/>
      <c r="E58" s="235"/>
      <c r="F58" s="235"/>
      <c r="G58" s="236"/>
      <c r="H58" s="190"/>
      <c r="I58" s="190"/>
      <c r="J58" s="190"/>
      <c r="K58" s="190"/>
      <c r="L58" s="190"/>
      <c r="M58" s="190"/>
      <c r="N58" s="190"/>
      <c r="O58" s="190"/>
      <c r="P58" s="237"/>
      <c r="Z58" s="180"/>
    </row>
    <row r="59" spans="3:26" s="234" customFormat="1">
      <c r="C59" s="158"/>
      <c r="D59" s="235"/>
      <c r="E59" s="235"/>
      <c r="F59" s="235"/>
      <c r="G59" s="236"/>
      <c r="H59" s="190"/>
      <c r="I59" s="190"/>
      <c r="J59" s="190"/>
      <c r="K59" s="190"/>
      <c r="L59" s="190"/>
      <c r="M59" s="190"/>
      <c r="N59" s="190"/>
      <c r="O59" s="190"/>
      <c r="P59" s="237"/>
      <c r="Z59" s="180"/>
    </row>
    <row r="60" spans="3:26" s="234" customFormat="1">
      <c r="C60" s="158"/>
      <c r="D60" s="235"/>
      <c r="E60" s="235"/>
      <c r="F60" s="235"/>
      <c r="G60" s="236"/>
      <c r="H60" s="190"/>
      <c r="I60" s="190"/>
      <c r="J60" s="190"/>
      <c r="K60" s="190"/>
      <c r="L60" s="190"/>
      <c r="M60" s="190"/>
      <c r="N60" s="190"/>
      <c r="O60" s="190"/>
      <c r="P60" s="237"/>
      <c r="Z60" s="180"/>
    </row>
    <row r="61" spans="3:26" s="234" customFormat="1">
      <c r="C61" s="158"/>
      <c r="D61" s="235"/>
      <c r="E61" s="235"/>
      <c r="F61" s="235"/>
      <c r="G61" s="236"/>
      <c r="H61" s="190"/>
      <c r="I61" s="190"/>
      <c r="J61" s="190"/>
      <c r="K61" s="190"/>
      <c r="L61" s="190"/>
      <c r="M61" s="190"/>
      <c r="N61" s="190"/>
      <c r="O61" s="190"/>
      <c r="P61" s="237"/>
      <c r="Z61" s="180"/>
    </row>
    <row r="62" spans="3:26" s="234" customFormat="1">
      <c r="C62" s="158"/>
      <c r="D62" s="235"/>
      <c r="E62" s="235"/>
      <c r="F62" s="235"/>
      <c r="G62" s="236"/>
      <c r="H62" s="190"/>
      <c r="I62" s="190"/>
      <c r="J62" s="190"/>
      <c r="K62" s="190"/>
      <c r="L62" s="190"/>
      <c r="M62" s="190"/>
      <c r="N62" s="190"/>
      <c r="O62" s="190"/>
      <c r="P62" s="237"/>
      <c r="Z62" s="180"/>
    </row>
    <row r="63" spans="3:26" s="234" customFormat="1">
      <c r="C63" s="158"/>
      <c r="D63" s="235"/>
      <c r="E63" s="235"/>
      <c r="F63" s="235"/>
      <c r="G63" s="236"/>
      <c r="H63" s="190"/>
      <c r="I63" s="190"/>
      <c r="J63" s="190"/>
      <c r="K63" s="190"/>
      <c r="L63" s="190"/>
      <c r="M63" s="190"/>
      <c r="N63" s="190"/>
      <c r="O63" s="190"/>
      <c r="P63" s="237"/>
      <c r="Z63" s="180"/>
    </row>
    <row r="64" spans="3:26" s="234" customFormat="1">
      <c r="C64" s="158"/>
      <c r="D64" s="235"/>
      <c r="E64" s="235"/>
      <c r="F64" s="235"/>
      <c r="G64" s="236"/>
      <c r="H64" s="190"/>
      <c r="I64" s="190"/>
      <c r="J64" s="190"/>
      <c r="K64" s="190"/>
      <c r="L64" s="190"/>
      <c r="M64" s="190"/>
      <c r="N64" s="190"/>
      <c r="O64" s="190"/>
      <c r="P64" s="237"/>
      <c r="Z64" s="180"/>
    </row>
    <row r="65" spans="3:26" s="234" customFormat="1">
      <c r="C65" s="158"/>
      <c r="D65" s="235"/>
      <c r="E65" s="235"/>
      <c r="F65" s="235"/>
      <c r="G65" s="236"/>
      <c r="H65" s="190"/>
      <c r="I65" s="190"/>
      <c r="J65" s="190"/>
      <c r="K65" s="190"/>
      <c r="L65" s="190"/>
      <c r="M65" s="190"/>
      <c r="N65" s="190"/>
      <c r="O65" s="190"/>
      <c r="P65" s="237"/>
      <c r="Z65" s="180"/>
    </row>
    <row r="66" spans="3:26" s="234" customFormat="1">
      <c r="C66" s="158"/>
      <c r="D66" s="235"/>
      <c r="E66" s="235"/>
      <c r="F66" s="235"/>
      <c r="G66" s="236"/>
      <c r="H66" s="190"/>
      <c r="I66" s="190"/>
      <c r="J66" s="190"/>
      <c r="K66" s="190"/>
      <c r="L66" s="190"/>
      <c r="M66" s="190"/>
      <c r="N66" s="190"/>
      <c r="O66" s="190"/>
      <c r="P66" s="237"/>
      <c r="Z66" s="180"/>
    </row>
    <row r="67" spans="3:26" s="234" customFormat="1">
      <c r="C67" s="158"/>
      <c r="D67" s="235"/>
      <c r="E67" s="235"/>
      <c r="F67" s="235"/>
      <c r="G67" s="236"/>
      <c r="H67" s="190"/>
      <c r="I67" s="190"/>
      <c r="J67" s="190"/>
      <c r="K67" s="190"/>
      <c r="L67" s="190"/>
      <c r="M67" s="190"/>
      <c r="N67" s="190"/>
      <c r="O67" s="190"/>
      <c r="P67" s="237"/>
      <c r="Z67" s="180"/>
    </row>
    <row r="68" spans="3:26" s="234" customFormat="1">
      <c r="C68" s="158"/>
      <c r="D68" s="235"/>
      <c r="E68" s="235"/>
      <c r="F68" s="235"/>
      <c r="G68" s="236"/>
      <c r="H68" s="190"/>
      <c r="I68" s="190"/>
      <c r="J68" s="190"/>
      <c r="K68" s="190"/>
      <c r="L68" s="190"/>
      <c r="M68" s="190"/>
      <c r="N68" s="190"/>
      <c r="O68" s="190"/>
      <c r="P68" s="237"/>
      <c r="Z68" s="180"/>
    </row>
    <row r="69" spans="3:26" s="234" customFormat="1">
      <c r="C69" s="158"/>
      <c r="D69" s="235"/>
      <c r="E69" s="235"/>
      <c r="F69" s="235"/>
      <c r="G69" s="236"/>
      <c r="H69" s="190"/>
      <c r="I69" s="190"/>
      <c r="J69" s="190"/>
      <c r="K69" s="190"/>
      <c r="L69" s="190"/>
      <c r="M69" s="190"/>
      <c r="N69" s="190"/>
      <c r="O69" s="190"/>
      <c r="P69" s="237"/>
      <c r="Z69" s="180"/>
    </row>
    <row r="70" spans="3:26" s="234" customFormat="1">
      <c r="C70" s="158"/>
      <c r="D70" s="235"/>
      <c r="E70" s="235"/>
      <c r="F70" s="235"/>
      <c r="G70" s="236"/>
      <c r="H70" s="190"/>
      <c r="I70" s="190"/>
      <c r="J70" s="190"/>
      <c r="K70" s="190"/>
      <c r="L70" s="190"/>
      <c r="M70" s="190"/>
      <c r="N70" s="190"/>
      <c r="O70" s="190"/>
      <c r="P70" s="237"/>
      <c r="Z70" s="180"/>
    </row>
    <row r="71" spans="3:26" s="234" customFormat="1">
      <c r="C71" s="158"/>
      <c r="D71" s="235"/>
      <c r="E71" s="235"/>
      <c r="F71" s="235"/>
      <c r="G71" s="236"/>
      <c r="H71" s="190"/>
      <c r="I71" s="190"/>
      <c r="J71" s="190"/>
      <c r="K71" s="190"/>
      <c r="L71" s="190"/>
      <c r="M71" s="190"/>
      <c r="N71" s="190"/>
      <c r="O71" s="190"/>
      <c r="P71" s="237"/>
      <c r="Z71" s="180"/>
    </row>
  </sheetData>
  <sheetProtection selectLockedCells="1"/>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enableFormatConditionsCalculation="0">
    <tabColor indexed="12"/>
  </sheetPr>
  <dimension ref="B1:AA71"/>
  <sheetViews>
    <sheetView showZeros="0" workbookViewId="0">
      <selection activeCell="U22" sqref="U22"/>
    </sheetView>
  </sheetViews>
  <sheetFormatPr defaultRowHeight="12.75"/>
  <cols>
    <col min="1" max="1" width="2.7109375" style="158" customWidth="1"/>
    <col min="2" max="2" width="8.85546875" style="158" customWidth="1"/>
    <col min="3" max="3" width="13" style="159"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62" t="s">
        <v>120</v>
      </c>
      <c r="D1" s="214"/>
    </row>
    <row r="2" spans="2:27">
      <c r="G2" s="179"/>
    </row>
    <row r="3" spans="2:27" s="177" customFormat="1" ht="13.5" thickBot="1">
      <c r="C3" s="215" t="s">
        <v>104</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121</v>
      </c>
      <c r="C4" s="217" t="s">
        <v>70</v>
      </c>
      <c r="D4" s="159">
        <f t="shared" ref="D4:M13" si="0">INDEX(scorematrix,MATCH($C4,renners,0),MATCH(D$3,etappes,0))</f>
        <v>0</v>
      </c>
      <c r="E4" s="159">
        <f t="shared" si="0"/>
        <v>19</v>
      </c>
      <c r="F4" s="159">
        <f t="shared" si="0"/>
        <v>0</v>
      </c>
      <c r="G4" s="159">
        <f t="shared" si="0"/>
        <v>8</v>
      </c>
      <c r="H4" s="159">
        <f t="shared" si="0"/>
        <v>0</v>
      </c>
      <c r="I4" s="159">
        <f t="shared" si="0"/>
        <v>0</v>
      </c>
      <c r="J4" s="159">
        <f t="shared" si="0"/>
        <v>0</v>
      </c>
      <c r="K4" s="159">
        <f t="shared" si="0"/>
        <v>0</v>
      </c>
      <c r="L4" s="159">
        <f t="shared" si="0"/>
        <v>0</v>
      </c>
      <c r="M4" s="159">
        <f t="shared" si="0"/>
        <v>0</v>
      </c>
      <c r="N4" s="159">
        <f t="shared" ref="N4:Y13" si="1">INDEX(scorematrix,MATCH($C4,renners,0),MATCH(N$3,etappes,0))</f>
        <v>0</v>
      </c>
      <c r="O4" s="159">
        <f t="shared" si="1"/>
        <v>0</v>
      </c>
      <c r="P4" s="159">
        <f t="shared" si="1"/>
        <v>0</v>
      </c>
      <c r="Q4" s="159">
        <f t="shared" si="1"/>
        <v>0</v>
      </c>
      <c r="R4" s="159">
        <f t="shared" si="1"/>
        <v>0</v>
      </c>
      <c r="S4" s="159">
        <f t="shared" si="1"/>
        <v>0</v>
      </c>
      <c r="T4" s="159">
        <f t="shared" si="1"/>
        <v>0</v>
      </c>
      <c r="U4" s="159">
        <f t="shared" si="1"/>
        <v>0</v>
      </c>
      <c r="V4" s="159">
        <f t="shared" si="1"/>
        <v>0</v>
      </c>
      <c r="W4" s="159">
        <f t="shared" si="1"/>
        <v>0</v>
      </c>
      <c r="X4" s="159">
        <f t="shared" si="1"/>
        <v>0</v>
      </c>
      <c r="Y4" s="159">
        <f t="shared" si="1"/>
        <v>0</v>
      </c>
      <c r="Z4" s="164">
        <f t="shared" ref="Z4:Z21" si="2">SUM(D4:Y4)</f>
        <v>27</v>
      </c>
      <c r="AA4" s="158" t="str">
        <f t="shared" ref="AA4:AA19" si="3">C4</f>
        <v>Gesink</v>
      </c>
    </row>
    <row r="5" spans="2:27">
      <c r="B5" s="216" t="s">
        <v>96</v>
      </c>
      <c r="C5" s="217" t="s">
        <v>97</v>
      </c>
      <c r="D5" s="159">
        <f t="shared" si="0"/>
        <v>0</v>
      </c>
      <c r="E5" s="159">
        <f t="shared" si="0"/>
        <v>22</v>
      </c>
      <c r="F5" s="159">
        <f t="shared" si="0"/>
        <v>0</v>
      </c>
      <c r="G5" s="159">
        <f t="shared" si="0"/>
        <v>17</v>
      </c>
      <c r="H5" s="159">
        <f t="shared" si="0"/>
        <v>0</v>
      </c>
      <c r="I5" s="159">
        <f t="shared" si="0"/>
        <v>15</v>
      </c>
      <c r="J5" s="159">
        <f t="shared" si="0"/>
        <v>0</v>
      </c>
      <c r="K5" s="159">
        <f t="shared" si="0"/>
        <v>0</v>
      </c>
      <c r="L5" s="159">
        <f t="shared" si="0"/>
        <v>0</v>
      </c>
      <c r="M5" s="159">
        <f t="shared" si="0"/>
        <v>0</v>
      </c>
      <c r="N5" s="159">
        <f t="shared" si="1"/>
        <v>0</v>
      </c>
      <c r="O5" s="159">
        <f t="shared" si="1"/>
        <v>0</v>
      </c>
      <c r="P5" s="159">
        <f t="shared" si="1"/>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64">
        <f t="shared" si="2"/>
        <v>54</v>
      </c>
      <c r="AA5" s="158" t="str">
        <f t="shared" si="3"/>
        <v>Mollema</v>
      </c>
    </row>
    <row r="6" spans="2:27">
      <c r="B6" s="216" t="s">
        <v>122</v>
      </c>
      <c r="C6" s="217" t="s">
        <v>123</v>
      </c>
      <c r="D6" s="159">
        <f t="shared" si="0"/>
        <v>0</v>
      </c>
      <c r="E6" s="159">
        <f t="shared" si="0"/>
        <v>0</v>
      </c>
      <c r="F6" s="159">
        <f t="shared" si="0"/>
        <v>0</v>
      </c>
      <c r="G6" s="159">
        <f t="shared" si="0"/>
        <v>0</v>
      </c>
      <c r="H6" s="159">
        <f t="shared" si="0"/>
        <v>0</v>
      </c>
      <c r="I6" s="159">
        <f t="shared" si="0"/>
        <v>0</v>
      </c>
      <c r="J6" s="159">
        <f t="shared" si="0"/>
        <v>0</v>
      </c>
      <c r="K6" s="159">
        <f t="shared" si="0"/>
        <v>0</v>
      </c>
      <c r="L6" s="159">
        <f t="shared" si="0"/>
        <v>0</v>
      </c>
      <c r="M6" s="159">
        <f t="shared" si="0"/>
        <v>9</v>
      </c>
      <c r="N6" s="159">
        <f t="shared" si="1"/>
        <v>0</v>
      </c>
      <c r="O6" s="159">
        <f t="shared" si="1"/>
        <v>0</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9</v>
      </c>
      <c r="AA6" s="158" t="str">
        <f t="shared" si="3"/>
        <v>Westra</v>
      </c>
    </row>
    <row r="7" spans="2:27">
      <c r="B7" s="216" t="s">
        <v>124</v>
      </c>
      <c r="C7" s="217" t="s">
        <v>125</v>
      </c>
      <c r="D7" s="159">
        <f t="shared" si="0"/>
        <v>0</v>
      </c>
      <c r="E7" s="159">
        <f t="shared" si="0"/>
        <v>0</v>
      </c>
      <c r="F7" s="159">
        <f t="shared" si="0"/>
        <v>0</v>
      </c>
      <c r="G7" s="159">
        <f t="shared" si="0"/>
        <v>0</v>
      </c>
      <c r="H7" s="159">
        <f t="shared" si="0"/>
        <v>0</v>
      </c>
      <c r="I7" s="159">
        <f t="shared" si="0"/>
        <v>0</v>
      </c>
      <c r="J7" s="159">
        <f t="shared" si="0"/>
        <v>0</v>
      </c>
      <c r="K7" s="159">
        <f t="shared" si="0"/>
        <v>0</v>
      </c>
      <c r="L7" s="159">
        <f t="shared" si="0"/>
        <v>0</v>
      </c>
      <c r="M7" s="159">
        <f t="shared" si="0"/>
        <v>0</v>
      </c>
      <c r="N7" s="159">
        <f t="shared" si="1"/>
        <v>0</v>
      </c>
      <c r="O7" s="159">
        <f t="shared" si="1"/>
        <v>0</v>
      </c>
      <c r="P7" s="159">
        <f t="shared" si="1"/>
        <v>0</v>
      </c>
      <c r="Q7" s="159">
        <f t="shared" si="1"/>
        <v>0</v>
      </c>
      <c r="R7" s="159">
        <f t="shared" si="1"/>
        <v>0</v>
      </c>
      <c r="S7" s="159">
        <f t="shared" si="1"/>
        <v>0</v>
      </c>
      <c r="T7" s="159">
        <f t="shared" si="1"/>
        <v>0</v>
      </c>
      <c r="U7" s="159">
        <f t="shared" si="1"/>
        <v>0</v>
      </c>
      <c r="V7" s="159">
        <f t="shared" si="1"/>
        <v>0</v>
      </c>
      <c r="W7" s="159">
        <f t="shared" si="1"/>
        <v>0</v>
      </c>
      <c r="X7" s="159">
        <f t="shared" si="1"/>
        <v>0</v>
      </c>
      <c r="Y7" s="159">
        <f t="shared" si="1"/>
        <v>0</v>
      </c>
      <c r="Z7" s="164">
        <f t="shared" si="2"/>
        <v>0</v>
      </c>
      <c r="AA7" s="158" t="str">
        <f t="shared" si="3"/>
        <v>Hoogerland</v>
      </c>
    </row>
    <row r="8" spans="2:27">
      <c r="B8" s="216" t="s">
        <v>126</v>
      </c>
      <c r="C8" s="217" t="s">
        <v>127</v>
      </c>
      <c r="D8" s="159">
        <f t="shared" si="0"/>
        <v>0</v>
      </c>
      <c r="E8" s="159">
        <f t="shared" si="0"/>
        <v>0</v>
      </c>
      <c r="F8" s="159">
        <f t="shared" si="0"/>
        <v>0</v>
      </c>
      <c r="G8" s="159">
        <f t="shared" si="0"/>
        <v>14</v>
      </c>
      <c r="H8" s="159">
        <f t="shared" si="0"/>
        <v>0</v>
      </c>
      <c r="I8" s="159">
        <f t="shared" si="0"/>
        <v>0</v>
      </c>
      <c r="J8" s="159">
        <f t="shared" si="0"/>
        <v>0</v>
      </c>
      <c r="K8" s="159">
        <f t="shared" si="0"/>
        <v>0</v>
      </c>
      <c r="L8" s="159">
        <f t="shared" si="0"/>
        <v>0</v>
      </c>
      <c r="M8" s="159">
        <f t="shared" si="0"/>
        <v>0</v>
      </c>
      <c r="N8" s="159">
        <f t="shared" si="1"/>
        <v>0</v>
      </c>
      <c r="O8" s="159">
        <f t="shared" si="1"/>
        <v>0</v>
      </c>
      <c r="P8" s="159">
        <f t="shared" si="1"/>
        <v>0</v>
      </c>
      <c r="Q8" s="159">
        <f t="shared" si="1"/>
        <v>0</v>
      </c>
      <c r="R8" s="159">
        <f t="shared" si="1"/>
        <v>0</v>
      </c>
      <c r="S8" s="159">
        <f t="shared" si="1"/>
        <v>0</v>
      </c>
      <c r="T8" s="159">
        <f t="shared" si="1"/>
        <v>0</v>
      </c>
      <c r="U8" s="159">
        <f t="shared" si="1"/>
        <v>0</v>
      </c>
      <c r="V8" s="159">
        <f t="shared" si="1"/>
        <v>0</v>
      </c>
      <c r="W8" s="159">
        <f t="shared" si="1"/>
        <v>0</v>
      </c>
      <c r="X8" s="159">
        <f t="shared" si="1"/>
        <v>0</v>
      </c>
      <c r="Y8" s="159">
        <f t="shared" si="1"/>
        <v>0</v>
      </c>
      <c r="Z8" s="164">
        <f t="shared" si="2"/>
        <v>14</v>
      </c>
      <c r="AA8" s="158" t="str">
        <f t="shared" si="3"/>
        <v>Poels</v>
      </c>
    </row>
    <row r="9" spans="2:27">
      <c r="B9" s="216" t="s">
        <v>128</v>
      </c>
      <c r="C9" s="217" t="s">
        <v>85</v>
      </c>
      <c r="D9" s="159">
        <f t="shared" si="0"/>
        <v>29</v>
      </c>
      <c r="E9" s="159">
        <f t="shared" si="0"/>
        <v>35</v>
      </c>
      <c r="F9" s="159">
        <f t="shared" si="0"/>
        <v>14</v>
      </c>
      <c r="G9" s="159">
        <f t="shared" si="0"/>
        <v>38</v>
      </c>
      <c r="H9" s="159">
        <f t="shared" si="0"/>
        <v>24</v>
      </c>
      <c r="I9" s="159">
        <f t="shared" si="0"/>
        <v>6</v>
      </c>
      <c r="J9" s="159">
        <f t="shared" si="0"/>
        <v>0</v>
      </c>
      <c r="K9" s="159">
        <f t="shared" si="0"/>
        <v>0</v>
      </c>
      <c r="L9" s="159">
        <f t="shared" si="0"/>
        <v>0</v>
      </c>
      <c r="M9" s="159">
        <f t="shared" si="0"/>
        <v>0</v>
      </c>
      <c r="N9" s="159">
        <f t="shared" si="1"/>
        <v>0</v>
      </c>
      <c r="O9" s="159">
        <f t="shared" si="1"/>
        <v>0</v>
      </c>
      <c r="P9" s="159">
        <f t="shared" si="1"/>
        <v>0</v>
      </c>
      <c r="Q9" s="159">
        <f t="shared" si="1"/>
        <v>27</v>
      </c>
      <c r="R9" s="159">
        <f t="shared" si="1"/>
        <v>1</v>
      </c>
      <c r="S9" s="159">
        <f t="shared" si="1"/>
        <v>1</v>
      </c>
      <c r="T9" s="159">
        <f t="shared" si="1"/>
        <v>1</v>
      </c>
      <c r="U9" s="159">
        <f t="shared" si="1"/>
        <v>1</v>
      </c>
      <c r="V9" s="159">
        <f t="shared" si="1"/>
        <v>14</v>
      </c>
      <c r="W9" s="159">
        <f t="shared" si="1"/>
        <v>1</v>
      </c>
      <c r="X9" s="159">
        <f t="shared" si="1"/>
        <v>18</v>
      </c>
      <c r="Y9" s="159">
        <f t="shared" si="1"/>
        <v>1</v>
      </c>
      <c r="Z9" s="164">
        <f t="shared" si="2"/>
        <v>211</v>
      </c>
      <c r="AA9" s="158" t="str">
        <f t="shared" si="3"/>
        <v>Boasson Hagen</v>
      </c>
    </row>
    <row r="10" spans="2:27">
      <c r="B10" s="216" t="s">
        <v>129</v>
      </c>
      <c r="C10" s="217" t="s">
        <v>130</v>
      </c>
      <c r="D10" s="159">
        <f t="shared" si="0"/>
        <v>0</v>
      </c>
      <c r="E10" s="159">
        <f t="shared" si="0"/>
        <v>43</v>
      </c>
      <c r="F10" s="159">
        <f t="shared" si="0"/>
        <v>27</v>
      </c>
      <c r="G10" s="159">
        <f t="shared" si="0"/>
        <v>43</v>
      </c>
      <c r="H10" s="159">
        <f t="shared" si="0"/>
        <v>30</v>
      </c>
      <c r="I10" s="159">
        <f t="shared" si="0"/>
        <v>8</v>
      </c>
      <c r="J10" s="159">
        <f t="shared" si="0"/>
        <v>46</v>
      </c>
      <c r="K10" s="159">
        <f t="shared" si="0"/>
        <v>5</v>
      </c>
      <c r="L10" s="159">
        <f t="shared" si="0"/>
        <v>5</v>
      </c>
      <c r="M10" s="159">
        <f t="shared" si="0"/>
        <v>5</v>
      </c>
      <c r="N10" s="159">
        <f t="shared" si="1"/>
        <v>5</v>
      </c>
      <c r="O10" s="159">
        <f t="shared" si="1"/>
        <v>5</v>
      </c>
      <c r="P10" s="159">
        <f t="shared" si="1"/>
        <v>25</v>
      </c>
      <c r="Q10" s="159">
        <f t="shared" si="1"/>
        <v>35</v>
      </c>
      <c r="R10" s="159">
        <f t="shared" si="1"/>
        <v>35</v>
      </c>
      <c r="S10" s="159">
        <f t="shared" si="1"/>
        <v>22</v>
      </c>
      <c r="T10" s="159">
        <f t="shared" si="1"/>
        <v>5</v>
      </c>
      <c r="U10" s="159">
        <f t="shared" si="1"/>
        <v>5</v>
      </c>
      <c r="V10" s="159">
        <f t="shared" si="1"/>
        <v>31</v>
      </c>
      <c r="W10" s="159">
        <f t="shared" si="1"/>
        <v>5</v>
      </c>
      <c r="X10" s="159">
        <f t="shared" si="1"/>
        <v>35</v>
      </c>
      <c r="Y10" s="159">
        <f t="shared" si="1"/>
        <v>10</v>
      </c>
      <c r="Z10" s="164">
        <f t="shared" si="2"/>
        <v>430</v>
      </c>
      <c r="AA10" s="158" t="str">
        <f t="shared" si="3"/>
        <v>Sagan</v>
      </c>
    </row>
    <row r="11" spans="2:27">
      <c r="B11" s="216" t="s">
        <v>131</v>
      </c>
      <c r="C11" s="217" t="s">
        <v>132</v>
      </c>
      <c r="D11" s="159">
        <f t="shared" si="0"/>
        <v>0</v>
      </c>
      <c r="E11" s="159">
        <f t="shared" si="0"/>
        <v>0</v>
      </c>
      <c r="F11" s="159">
        <f t="shared" si="0"/>
        <v>0</v>
      </c>
      <c r="G11" s="159">
        <f t="shared" si="0"/>
        <v>0</v>
      </c>
      <c r="H11" s="159">
        <f t="shared" si="0"/>
        <v>0</v>
      </c>
      <c r="I11" s="159">
        <f t="shared" si="0"/>
        <v>0</v>
      </c>
      <c r="J11" s="159">
        <f t="shared" si="0"/>
        <v>0</v>
      </c>
      <c r="K11" s="159">
        <f t="shared" si="0"/>
        <v>0</v>
      </c>
      <c r="L11" s="159">
        <f t="shared" si="0"/>
        <v>0</v>
      </c>
      <c r="M11" s="159">
        <f t="shared" si="0"/>
        <v>0</v>
      </c>
      <c r="N11" s="159">
        <f t="shared" si="1"/>
        <v>0</v>
      </c>
      <c r="O11" s="159">
        <f t="shared" si="1"/>
        <v>0</v>
      </c>
      <c r="P11" s="159">
        <f t="shared" si="1"/>
        <v>0</v>
      </c>
      <c r="Q11" s="159">
        <f t="shared" si="1"/>
        <v>0</v>
      </c>
      <c r="R11" s="159">
        <f t="shared" si="1"/>
        <v>0</v>
      </c>
      <c r="S11" s="159">
        <f t="shared" si="1"/>
        <v>0</v>
      </c>
      <c r="T11" s="159">
        <f t="shared" si="1"/>
        <v>0</v>
      </c>
      <c r="U11" s="159">
        <f t="shared" si="1"/>
        <v>0</v>
      </c>
      <c r="V11" s="159">
        <f t="shared" si="1"/>
        <v>0</v>
      </c>
      <c r="W11" s="159">
        <f t="shared" si="1"/>
        <v>0</v>
      </c>
      <c r="X11" s="159">
        <f t="shared" si="1"/>
        <v>0</v>
      </c>
      <c r="Y11" s="159">
        <f t="shared" si="1"/>
        <v>0</v>
      </c>
      <c r="Z11" s="164">
        <f t="shared" si="2"/>
        <v>0</v>
      </c>
      <c r="AA11" s="158" t="str">
        <f t="shared" si="3"/>
        <v>Kittel</v>
      </c>
    </row>
    <row r="12" spans="2:27">
      <c r="B12" s="216" t="s">
        <v>133</v>
      </c>
      <c r="C12" s="217" t="s">
        <v>76</v>
      </c>
      <c r="D12" s="159">
        <f t="shared" si="0"/>
        <v>0</v>
      </c>
      <c r="E12" s="159">
        <f t="shared" si="0"/>
        <v>0</v>
      </c>
      <c r="F12" s="159">
        <f t="shared" si="0"/>
        <v>16</v>
      </c>
      <c r="G12" s="159">
        <f t="shared" si="0"/>
        <v>0</v>
      </c>
      <c r="H12" s="159">
        <f t="shared" si="0"/>
        <v>0</v>
      </c>
      <c r="I12" s="159">
        <f t="shared" si="0"/>
        <v>0</v>
      </c>
      <c r="J12" s="159">
        <f t="shared" si="0"/>
        <v>0</v>
      </c>
      <c r="K12" s="159">
        <f t="shared" si="0"/>
        <v>0</v>
      </c>
      <c r="L12" s="159">
        <f t="shared" si="0"/>
        <v>0</v>
      </c>
      <c r="M12" s="159">
        <f t="shared" si="0"/>
        <v>0</v>
      </c>
      <c r="N12" s="159">
        <f t="shared" si="1"/>
        <v>0</v>
      </c>
      <c r="O12" s="159">
        <f t="shared" si="1"/>
        <v>0</v>
      </c>
      <c r="P12" s="159">
        <f t="shared" si="1"/>
        <v>0</v>
      </c>
      <c r="Q12" s="159">
        <f t="shared" si="1"/>
        <v>0</v>
      </c>
      <c r="R12" s="159">
        <f t="shared" si="1"/>
        <v>0</v>
      </c>
      <c r="S12" s="159">
        <f t="shared" si="1"/>
        <v>18</v>
      </c>
      <c r="T12" s="159">
        <f t="shared" si="1"/>
        <v>0</v>
      </c>
      <c r="U12" s="159">
        <f t="shared" si="1"/>
        <v>0</v>
      </c>
      <c r="V12" s="159">
        <f t="shared" si="1"/>
        <v>20</v>
      </c>
      <c r="W12" s="159">
        <f t="shared" si="1"/>
        <v>0</v>
      </c>
      <c r="X12" s="159">
        <f t="shared" si="1"/>
        <v>15</v>
      </c>
      <c r="Y12" s="159">
        <f t="shared" si="1"/>
        <v>0</v>
      </c>
      <c r="Z12" s="164">
        <f t="shared" si="2"/>
        <v>69</v>
      </c>
      <c r="AA12" s="158" t="str">
        <f t="shared" si="3"/>
        <v>Farrar</v>
      </c>
    </row>
    <row r="13" spans="2:27">
      <c r="B13" s="216" t="s">
        <v>134</v>
      </c>
      <c r="C13" s="217" t="s">
        <v>87</v>
      </c>
      <c r="D13" s="159">
        <f t="shared" si="0"/>
        <v>0</v>
      </c>
      <c r="E13" s="159">
        <f t="shared" si="0"/>
        <v>0</v>
      </c>
      <c r="F13" s="159">
        <f t="shared" si="0"/>
        <v>15</v>
      </c>
      <c r="G13" s="159">
        <f t="shared" si="0"/>
        <v>0</v>
      </c>
      <c r="H13" s="159">
        <f t="shared" si="0"/>
        <v>0</v>
      </c>
      <c r="I13" s="159">
        <f t="shared" si="0"/>
        <v>0</v>
      </c>
      <c r="J13" s="159">
        <f t="shared" si="0"/>
        <v>0</v>
      </c>
      <c r="K13" s="159">
        <f t="shared" si="0"/>
        <v>0</v>
      </c>
      <c r="L13" s="159">
        <f t="shared" si="0"/>
        <v>0</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0</v>
      </c>
      <c r="X13" s="159">
        <f t="shared" si="1"/>
        <v>0</v>
      </c>
      <c r="Y13" s="159">
        <f t="shared" si="1"/>
        <v>0</v>
      </c>
      <c r="Z13" s="164">
        <f t="shared" si="2"/>
        <v>15</v>
      </c>
      <c r="AA13" s="158" t="str">
        <f t="shared" si="3"/>
        <v>Rojas</v>
      </c>
    </row>
    <row r="14" spans="2:27">
      <c r="B14" s="216" t="s">
        <v>135</v>
      </c>
      <c r="C14" s="217" t="s">
        <v>100</v>
      </c>
      <c r="D14" s="159">
        <f t="shared" ref="D14:M20" si="4">INDEX(scorematrix,MATCH($C14,renners,0),MATCH(D$3,etappes,0))</f>
        <v>0</v>
      </c>
      <c r="E14" s="159">
        <f t="shared" si="4"/>
        <v>0</v>
      </c>
      <c r="F14" s="159">
        <f t="shared" si="4"/>
        <v>28</v>
      </c>
      <c r="G14" s="159">
        <f t="shared" si="4"/>
        <v>1</v>
      </c>
      <c r="H14" s="159">
        <f t="shared" si="4"/>
        <v>28</v>
      </c>
      <c r="I14" s="159">
        <f t="shared" si="4"/>
        <v>34</v>
      </c>
      <c r="J14" s="159">
        <f t="shared" si="4"/>
        <v>30</v>
      </c>
      <c r="K14" s="159">
        <f t="shared" si="4"/>
        <v>4</v>
      </c>
      <c r="L14" s="159">
        <f t="shared" si="4"/>
        <v>4</v>
      </c>
      <c r="M14" s="159">
        <f t="shared" si="4"/>
        <v>4</v>
      </c>
      <c r="N14" s="159">
        <f t="shared" ref="N14:Y20" si="5">INDEX(scorematrix,MATCH($C14,renners,0),MATCH(N$3,etappes,0))</f>
        <v>4</v>
      </c>
      <c r="O14" s="159">
        <f t="shared" si="5"/>
        <v>4</v>
      </c>
      <c r="P14" s="159">
        <f t="shared" si="5"/>
        <v>23</v>
      </c>
      <c r="Q14" s="159">
        <f t="shared" si="5"/>
        <v>3</v>
      </c>
      <c r="R14" s="159">
        <f t="shared" si="5"/>
        <v>3</v>
      </c>
      <c r="S14" s="159">
        <f t="shared" si="5"/>
        <v>3</v>
      </c>
      <c r="T14" s="159">
        <f t="shared" si="5"/>
        <v>3</v>
      </c>
      <c r="U14" s="159">
        <f t="shared" si="5"/>
        <v>3</v>
      </c>
      <c r="V14" s="159">
        <f t="shared" si="5"/>
        <v>33</v>
      </c>
      <c r="W14" s="159">
        <f t="shared" si="5"/>
        <v>3</v>
      </c>
      <c r="X14" s="159">
        <f t="shared" si="5"/>
        <v>29</v>
      </c>
      <c r="Y14" s="159">
        <f t="shared" si="5"/>
        <v>5</v>
      </c>
      <c r="Z14" s="164">
        <f t="shared" si="2"/>
        <v>249</v>
      </c>
      <c r="AA14" s="158" t="str">
        <f t="shared" si="3"/>
        <v>Goss</v>
      </c>
    </row>
    <row r="15" spans="2:27">
      <c r="B15" s="216" t="s">
        <v>136</v>
      </c>
      <c r="C15" s="217" t="s">
        <v>137</v>
      </c>
      <c r="D15" s="159">
        <f t="shared" si="4"/>
        <v>21</v>
      </c>
      <c r="E15" s="159">
        <f t="shared" si="4"/>
        <v>5</v>
      </c>
      <c r="F15" s="159">
        <f t="shared" si="4"/>
        <v>5</v>
      </c>
      <c r="G15" s="159">
        <f t="shared" si="4"/>
        <v>5</v>
      </c>
      <c r="H15" s="159">
        <f t="shared" si="4"/>
        <v>5</v>
      </c>
      <c r="I15" s="159">
        <f t="shared" si="4"/>
        <v>5</v>
      </c>
      <c r="J15" s="159">
        <f t="shared" si="4"/>
        <v>6</v>
      </c>
      <c r="K15" s="159">
        <f t="shared" si="4"/>
        <v>23</v>
      </c>
      <c r="L15" s="159">
        <f t="shared" si="4"/>
        <v>25</v>
      </c>
      <c r="M15" s="159">
        <f t="shared" si="4"/>
        <v>23</v>
      </c>
      <c r="N15" s="159">
        <f t="shared" si="5"/>
        <v>16</v>
      </c>
      <c r="O15" s="159">
        <f t="shared" si="5"/>
        <v>0</v>
      </c>
      <c r="P15" s="159">
        <f t="shared" si="5"/>
        <v>0</v>
      </c>
      <c r="Q15" s="159">
        <f t="shared" si="5"/>
        <v>0</v>
      </c>
      <c r="R15" s="159">
        <f t="shared" si="5"/>
        <v>0</v>
      </c>
      <c r="S15" s="159">
        <f t="shared" si="5"/>
        <v>0</v>
      </c>
      <c r="T15" s="159">
        <f t="shared" si="5"/>
        <v>0</v>
      </c>
      <c r="U15" s="159">
        <f t="shared" si="5"/>
        <v>11</v>
      </c>
      <c r="V15" s="159">
        <f t="shared" si="5"/>
        <v>0</v>
      </c>
      <c r="W15" s="159">
        <f t="shared" si="5"/>
        <v>0</v>
      </c>
      <c r="X15" s="159">
        <f t="shared" si="5"/>
        <v>0</v>
      </c>
      <c r="Y15" s="159">
        <f t="shared" si="5"/>
        <v>22</v>
      </c>
      <c r="Z15" s="164">
        <f t="shared" si="2"/>
        <v>172</v>
      </c>
      <c r="AA15" s="158" t="str">
        <f t="shared" si="3"/>
        <v>Menchov</v>
      </c>
    </row>
    <row r="16" spans="2:27">
      <c r="B16" s="216" t="s">
        <v>138</v>
      </c>
      <c r="C16" s="217" t="s">
        <v>139</v>
      </c>
      <c r="D16" s="159">
        <f t="shared" si="4"/>
        <v>0</v>
      </c>
      <c r="E16" s="159">
        <f t="shared" si="4"/>
        <v>13</v>
      </c>
      <c r="F16" s="159">
        <f t="shared" si="4"/>
        <v>0</v>
      </c>
      <c r="G16" s="159">
        <f t="shared" si="4"/>
        <v>0</v>
      </c>
      <c r="H16" s="159">
        <f t="shared" si="4"/>
        <v>0</v>
      </c>
      <c r="I16" s="159">
        <f t="shared" si="4"/>
        <v>0</v>
      </c>
      <c r="J16" s="159">
        <f t="shared" si="4"/>
        <v>0</v>
      </c>
      <c r="K16" s="159">
        <f t="shared" si="4"/>
        <v>0</v>
      </c>
      <c r="L16" s="159">
        <f t="shared" si="4"/>
        <v>0</v>
      </c>
      <c r="M16" s="159">
        <f t="shared" si="4"/>
        <v>0</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13</v>
      </c>
      <c r="AA16" s="158" t="str">
        <f t="shared" si="3"/>
        <v>Gerrans</v>
      </c>
    </row>
    <row r="17" spans="2:27">
      <c r="B17" s="216" t="s">
        <v>140</v>
      </c>
      <c r="C17" s="217" t="s">
        <v>88</v>
      </c>
      <c r="D17" s="159">
        <f t="shared" si="4"/>
        <v>0</v>
      </c>
      <c r="E17" s="159">
        <f t="shared" si="4"/>
        <v>0</v>
      </c>
      <c r="F17" s="159">
        <f t="shared" si="4"/>
        <v>0</v>
      </c>
      <c r="G17" s="159">
        <f t="shared" si="4"/>
        <v>0</v>
      </c>
      <c r="H17" s="159">
        <f t="shared" si="4"/>
        <v>0</v>
      </c>
      <c r="I17" s="159">
        <f t="shared" si="4"/>
        <v>0</v>
      </c>
      <c r="J17" s="159">
        <f t="shared" si="4"/>
        <v>0</v>
      </c>
      <c r="K17" s="159">
        <f t="shared" si="4"/>
        <v>29</v>
      </c>
      <c r="L17" s="159">
        <f t="shared" si="4"/>
        <v>1</v>
      </c>
      <c r="M17" s="159">
        <f t="shared" si="4"/>
        <v>0</v>
      </c>
      <c r="N17" s="159">
        <f t="shared" si="5"/>
        <v>0</v>
      </c>
      <c r="O17" s="159">
        <f t="shared" si="5"/>
        <v>0</v>
      </c>
      <c r="P17" s="159">
        <f t="shared" si="5"/>
        <v>0</v>
      </c>
      <c r="Q17" s="159">
        <f t="shared" si="5"/>
        <v>0</v>
      </c>
      <c r="R17" s="159">
        <f t="shared" si="5"/>
        <v>0</v>
      </c>
      <c r="S17" s="159">
        <f t="shared" si="5"/>
        <v>0</v>
      </c>
      <c r="T17" s="159">
        <f t="shared" si="5"/>
        <v>0</v>
      </c>
      <c r="U17" s="159">
        <f t="shared" si="5"/>
        <v>0</v>
      </c>
      <c r="V17" s="159">
        <f t="shared" si="5"/>
        <v>0</v>
      </c>
      <c r="W17" s="159">
        <f t="shared" si="5"/>
        <v>17</v>
      </c>
      <c r="X17" s="159">
        <f t="shared" si="5"/>
        <v>0</v>
      </c>
      <c r="Y17" s="159">
        <f t="shared" si="5"/>
        <v>0</v>
      </c>
      <c r="Z17" s="164">
        <f t="shared" si="2"/>
        <v>47</v>
      </c>
      <c r="AA17" s="158" t="str">
        <f t="shared" si="3"/>
        <v>Taaramae</v>
      </c>
    </row>
    <row r="18" spans="2:27">
      <c r="B18" s="216" t="s">
        <v>141</v>
      </c>
      <c r="C18" s="217" t="s">
        <v>81</v>
      </c>
      <c r="D18" s="159">
        <f t="shared" si="4"/>
        <v>13</v>
      </c>
      <c r="E18" s="159">
        <f t="shared" si="4"/>
        <v>9</v>
      </c>
      <c r="F18" s="159">
        <f t="shared" si="4"/>
        <v>3</v>
      </c>
      <c r="G18" s="159">
        <f t="shared" si="4"/>
        <v>24</v>
      </c>
      <c r="H18" s="159">
        <f t="shared" si="4"/>
        <v>4</v>
      </c>
      <c r="I18" s="159">
        <f t="shared" si="4"/>
        <v>4</v>
      </c>
      <c r="J18" s="159">
        <f t="shared" si="4"/>
        <v>17</v>
      </c>
      <c r="K18" s="159">
        <f t="shared" si="4"/>
        <v>43</v>
      </c>
      <c r="L18" s="159">
        <f t="shared" si="4"/>
        <v>42</v>
      </c>
      <c r="M18" s="159">
        <f t="shared" si="4"/>
        <v>32</v>
      </c>
      <c r="N18" s="159">
        <f t="shared" si="5"/>
        <v>23</v>
      </c>
      <c r="O18" s="159">
        <f t="shared" si="5"/>
        <v>22</v>
      </c>
      <c r="P18" s="159">
        <f t="shared" si="5"/>
        <v>25</v>
      </c>
      <c r="Q18" s="159">
        <f t="shared" si="5"/>
        <v>17</v>
      </c>
      <c r="R18" s="159">
        <f t="shared" si="5"/>
        <v>17</v>
      </c>
      <c r="S18" s="159">
        <f t="shared" si="5"/>
        <v>7</v>
      </c>
      <c r="T18" s="159">
        <f t="shared" si="5"/>
        <v>4</v>
      </c>
      <c r="U18" s="159">
        <f t="shared" si="5"/>
        <v>13</v>
      </c>
      <c r="V18" s="159">
        <f t="shared" si="5"/>
        <v>5</v>
      </c>
      <c r="W18" s="159">
        <f t="shared" si="5"/>
        <v>4</v>
      </c>
      <c r="X18" s="159">
        <f t="shared" si="5"/>
        <v>4</v>
      </c>
      <c r="Y18" s="159">
        <f t="shared" si="5"/>
        <v>38</v>
      </c>
      <c r="Z18" s="164">
        <f t="shared" si="2"/>
        <v>370</v>
      </c>
      <c r="AA18" s="158" t="str">
        <f t="shared" si="3"/>
        <v>Evans</v>
      </c>
    </row>
    <row r="19" spans="2:27" s="218" customFormat="1">
      <c r="B19" s="216" t="s">
        <v>71</v>
      </c>
      <c r="C19" s="217" t="s">
        <v>72</v>
      </c>
      <c r="D19" s="159">
        <f t="shared" si="4"/>
        <v>43</v>
      </c>
      <c r="E19" s="159">
        <f t="shared" si="4"/>
        <v>19</v>
      </c>
      <c r="F19" s="159">
        <f t="shared" si="4"/>
        <v>9</v>
      </c>
      <c r="G19" s="159">
        <f t="shared" si="4"/>
        <v>9</v>
      </c>
      <c r="H19" s="159">
        <f t="shared" si="4"/>
        <v>9</v>
      </c>
      <c r="I19" s="159">
        <f t="shared" si="4"/>
        <v>17</v>
      </c>
      <c r="J19" s="159">
        <f t="shared" si="4"/>
        <v>9</v>
      </c>
      <c r="K19" s="159">
        <f t="shared" si="4"/>
        <v>39</v>
      </c>
      <c r="L19" s="159">
        <f t="shared" si="4"/>
        <v>35</v>
      </c>
      <c r="M19" s="159">
        <f t="shared" si="4"/>
        <v>46</v>
      </c>
      <c r="N19" s="159">
        <f t="shared" si="5"/>
        <v>23</v>
      </c>
      <c r="O19" s="159">
        <f t="shared" si="5"/>
        <v>30</v>
      </c>
      <c r="P19" s="159">
        <f t="shared" si="5"/>
        <v>24</v>
      </c>
      <c r="Q19" s="159">
        <f t="shared" si="5"/>
        <v>24</v>
      </c>
      <c r="R19" s="159">
        <f t="shared" si="5"/>
        <v>21</v>
      </c>
      <c r="S19" s="159">
        <f t="shared" si="5"/>
        <v>10</v>
      </c>
      <c r="T19" s="159">
        <f t="shared" si="5"/>
        <v>24</v>
      </c>
      <c r="U19" s="159">
        <f t="shared" si="5"/>
        <v>36</v>
      </c>
      <c r="V19" s="159">
        <f t="shared" si="5"/>
        <v>17</v>
      </c>
      <c r="W19" s="159">
        <f t="shared" si="5"/>
        <v>45</v>
      </c>
      <c r="X19" s="159">
        <f t="shared" si="5"/>
        <v>10</v>
      </c>
      <c r="Y19" s="159">
        <f t="shared" si="5"/>
        <v>70</v>
      </c>
      <c r="Z19" s="164">
        <f t="shared" si="2"/>
        <v>569</v>
      </c>
      <c r="AA19" s="158" t="str">
        <f t="shared" si="3"/>
        <v>Wiggins</v>
      </c>
    </row>
    <row r="20" spans="2:27">
      <c r="B20" s="216" t="s">
        <v>142</v>
      </c>
      <c r="C20" s="217" t="s">
        <v>143</v>
      </c>
      <c r="D20" s="159">
        <f t="shared" si="4"/>
        <v>0</v>
      </c>
      <c r="E20" s="159">
        <f t="shared" si="4"/>
        <v>20</v>
      </c>
      <c r="F20" s="159">
        <f t="shared" si="4"/>
        <v>0</v>
      </c>
      <c r="G20" s="159">
        <f t="shared" si="4"/>
        <v>0</v>
      </c>
      <c r="H20" s="159">
        <f t="shared" si="4"/>
        <v>0</v>
      </c>
      <c r="I20" s="159">
        <f t="shared" si="4"/>
        <v>0</v>
      </c>
      <c r="J20" s="159">
        <f t="shared" si="4"/>
        <v>0</v>
      </c>
      <c r="K20" s="159">
        <f t="shared" si="4"/>
        <v>0</v>
      </c>
      <c r="L20" s="159">
        <f t="shared" si="4"/>
        <v>0</v>
      </c>
      <c r="M20" s="159">
        <f t="shared" si="4"/>
        <v>0</v>
      </c>
      <c r="N20" s="159">
        <f t="shared" si="5"/>
        <v>9</v>
      </c>
      <c r="O20" s="159">
        <f t="shared" si="5"/>
        <v>0</v>
      </c>
      <c r="P20" s="159">
        <f t="shared" si="5"/>
        <v>0</v>
      </c>
      <c r="Q20" s="159">
        <f t="shared" si="5"/>
        <v>0</v>
      </c>
      <c r="R20" s="159">
        <f t="shared" si="5"/>
        <v>0</v>
      </c>
      <c r="S20" s="159">
        <f t="shared" si="5"/>
        <v>0</v>
      </c>
      <c r="T20" s="159">
        <f t="shared" si="5"/>
        <v>8</v>
      </c>
      <c r="U20" s="159">
        <f t="shared" si="5"/>
        <v>36</v>
      </c>
      <c r="V20" s="159">
        <f t="shared" si="5"/>
        <v>1</v>
      </c>
      <c r="W20" s="159">
        <f t="shared" si="5"/>
        <v>1</v>
      </c>
      <c r="X20" s="159">
        <f t="shared" si="5"/>
        <v>1</v>
      </c>
      <c r="Y20" s="159">
        <f t="shared" si="5"/>
        <v>13</v>
      </c>
      <c r="Z20" s="164">
        <f t="shared" si="2"/>
        <v>89</v>
      </c>
      <c r="AA20" s="158" t="str">
        <f>C20</f>
        <v>Valverde</v>
      </c>
    </row>
    <row r="21" spans="2:27" s="219" customFormat="1">
      <c r="C21" s="220"/>
      <c r="D21" s="221"/>
      <c r="E21" s="221"/>
      <c r="F21" s="221"/>
      <c r="G21" s="221"/>
      <c r="H21" s="221"/>
      <c r="I21" s="221"/>
      <c r="J21" s="221"/>
      <c r="K21" s="221"/>
      <c r="L21" s="221"/>
      <c r="M21" s="221">
        <f>M24+M25</f>
        <v>40</v>
      </c>
      <c r="N21" s="221"/>
      <c r="O21" s="221"/>
      <c r="P21" s="221"/>
      <c r="Q21" s="221"/>
      <c r="R21" s="221"/>
      <c r="S21" s="221"/>
      <c r="T21" s="221"/>
      <c r="U21" s="221">
        <f>U26</f>
        <v>39</v>
      </c>
      <c r="V21" s="221"/>
      <c r="W21" s="221"/>
      <c r="X21" s="221"/>
      <c r="Y21" s="221"/>
      <c r="Z21" s="164">
        <f t="shared" si="2"/>
        <v>79</v>
      </c>
    </row>
    <row r="22" spans="2:27" s="162" customFormat="1">
      <c r="C22" s="222"/>
      <c r="D22" s="223">
        <f t="shared" ref="D22:Z22" si="6">SUM(D4:D21)</f>
        <v>106</v>
      </c>
      <c r="E22" s="223">
        <f t="shared" ref="E22" si="7">SUM(E4:E21)</f>
        <v>185</v>
      </c>
      <c r="F22" s="223">
        <f>SUM(F4:F21)</f>
        <v>117</v>
      </c>
      <c r="G22" s="223">
        <f t="shared" si="6"/>
        <v>159</v>
      </c>
      <c r="H22" s="223">
        <f t="shared" si="6"/>
        <v>100</v>
      </c>
      <c r="I22" s="223">
        <f t="shared" si="6"/>
        <v>89</v>
      </c>
      <c r="J22" s="223">
        <f t="shared" si="6"/>
        <v>108</v>
      </c>
      <c r="K22" s="223">
        <f t="shared" si="6"/>
        <v>143</v>
      </c>
      <c r="L22" s="223">
        <f t="shared" si="6"/>
        <v>112</v>
      </c>
      <c r="M22" s="223">
        <f t="shared" si="6"/>
        <v>159</v>
      </c>
      <c r="N22" s="223">
        <f t="shared" si="6"/>
        <v>80</v>
      </c>
      <c r="O22" s="223">
        <f t="shared" si="6"/>
        <v>61</v>
      </c>
      <c r="P22" s="223">
        <f t="shared" si="6"/>
        <v>97</v>
      </c>
      <c r="Q22" s="223">
        <f t="shared" si="6"/>
        <v>106</v>
      </c>
      <c r="R22" s="223">
        <f t="shared" si="6"/>
        <v>77</v>
      </c>
      <c r="S22" s="223">
        <f t="shared" si="6"/>
        <v>61</v>
      </c>
      <c r="T22" s="223">
        <f t="shared" si="6"/>
        <v>45</v>
      </c>
      <c r="U22" s="223">
        <f t="shared" si="6"/>
        <v>144</v>
      </c>
      <c r="V22" s="223">
        <f t="shared" si="6"/>
        <v>121</v>
      </c>
      <c r="W22" s="223">
        <f t="shared" si="6"/>
        <v>76</v>
      </c>
      <c r="X22" s="223">
        <f t="shared" si="6"/>
        <v>112</v>
      </c>
      <c r="Y22" s="223">
        <f t="shared" si="6"/>
        <v>159</v>
      </c>
      <c r="Z22" s="224">
        <f t="shared" si="6"/>
        <v>2417</v>
      </c>
    </row>
    <row r="23" spans="2:27" s="225" customFormat="1">
      <c r="C23" s="222"/>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144</v>
      </c>
      <c r="C24" s="228" t="s">
        <v>82</v>
      </c>
      <c r="D24" s="295">
        <f t="shared" ref="D24:Y26" si="8">INDEX(scorematrix,MATCH($C24,renners,0),MATCH(D$3,etappes,0))</f>
        <v>0</v>
      </c>
      <c r="E24" s="295">
        <f t="shared" si="8"/>
        <v>0</v>
      </c>
      <c r="F24" s="295">
        <f t="shared" si="8"/>
        <v>0</v>
      </c>
      <c r="G24" s="295">
        <f t="shared" si="8"/>
        <v>0</v>
      </c>
      <c r="H24" s="295">
        <f t="shared" si="8"/>
        <v>0</v>
      </c>
      <c r="I24" s="295">
        <f t="shared" si="8"/>
        <v>0</v>
      </c>
      <c r="J24" s="295">
        <f t="shared" si="8"/>
        <v>0</v>
      </c>
      <c r="K24" s="295">
        <f t="shared" si="8"/>
        <v>0</v>
      </c>
      <c r="L24" s="295">
        <f t="shared" si="8"/>
        <v>0</v>
      </c>
      <c r="M24" s="296">
        <f t="shared" si="8"/>
        <v>14</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0</v>
      </c>
      <c r="X24" s="295">
        <f t="shared" si="8"/>
        <v>0</v>
      </c>
      <c r="Y24" s="295">
        <f t="shared" si="8"/>
        <v>0</v>
      </c>
      <c r="Z24" s="229">
        <f>SUM(D24:Y24)</f>
        <v>14</v>
      </c>
    </row>
    <row r="25" spans="2:27" s="230" customFormat="1">
      <c r="B25" s="216" t="s">
        <v>145</v>
      </c>
      <c r="C25" s="228" t="s">
        <v>79</v>
      </c>
      <c r="D25" s="295">
        <f t="shared" si="8"/>
        <v>50</v>
      </c>
      <c r="E25" s="295">
        <f t="shared" si="8"/>
        <v>45</v>
      </c>
      <c r="F25" s="295">
        <f t="shared" si="8"/>
        <v>13</v>
      </c>
      <c r="G25" s="295">
        <f t="shared" si="8"/>
        <v>38</v>
      </c>
      <c r="H25" s="295">
        <f t="shared" si="8"/>
        <v>10</v>
      </c>
      <c r="I25" s="295">
        <f t="shared" si="8"/>
        <v>10</v>
      </c>
      <c r="J25" s="295">
        <f t="shared" si="8"/>
        <v>10</v>
      </c>
      <c r="K25" s="295">
        <f t="shared" si="8"/>
        <v>6</v>
      </c>
      <c r="L25" s="295">
        <f t="shared" si="8"/>
        <v>0</v>
      </c>
      <c r="M25" s="296">
        <f t="shared" si="8"/>
        <v>26</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29">
        <f>SUM(D25:Y25)</f>
        <v>208</v>
      </c>
    </row>
    <row r="26" spans="2:27" s="230" customFormat="1">
      <c r="B26" s="216" t="s">
        <v>146</v>
      </c>
      <c r="C26" s="228" t="s">
        <v>147</v>
      </c>
      <c r="D26" s="295">
        <f t="shared" si="8"/>
        <v>15</v>
      </c>
      <c r="E26" s="295">
        <f t="shared" si="8"/>
        <v>0</v>
      </c>
      <c r="F26" s="295">
        <f t="shared" si="8"/>
        <v>0</v>
      </c>
      <c r="G26" s="295">
        <f t="shared" si="8"/>
        <v>0</v>
      </c>
      <c r="H26" s="295">
        <f t="shared" si="8"/>
        <v>0</v>
      </c>
      <c r="I26" s="295">
        <f t="shared" si="8"/>
        <v>0</v>
      </c>
      <c r="J26" s="295">
        <f t="shared" si="8"/>
        <v>0</v>
      </c>
      <c r="K26" s="295">
        <f t="shared" si="8"/>
        <v>42</v>
      </c>
      <c r="L26" s="295">
        <f t="shared" si="8"/>
        <v>28</v>
      </c>
      <c r="M26" s="295">
        <f t="shared" si="8"/>
        <v>42</v>
      </c>
      <c r="N26" s="295">
        <f t="shared" si="8"/>
        <v>18</v>
      </c>
      <c r="O26" s="295">
        <f t="shared" si="8"/>
        <v>36</v>
      </c>
      <c r="P26" s="295">
        <f t="shared" si="8"/>
        <v>20</v>
      </c>
      <c r="Q26" s="295">
        <f t="shared" si="8"/>
        <v>20</v>
      </c>
      <c r="R26" s="295">
        <f t="shared" si="8"/>
        <v>15</v>
      </c>
      <c r="S26" s="295">
        <f t="shared" si="8"/>
        <v>9</v>
      </c>
      <c r="T26" s="295">
        <f t="shared" si="8"/>
        <v>22</v>
      </c>
      <c r="U26" s="296">
        <f t="shared" si="8"/>
        <v>39</v>
      </c>
      <c r="V26" s="295">
        <f t="shared" si="8"/>
        <v>9</v>
      </c>
      <c r="W26" s="295">
        <f t="shared" si="8"/>
        <v>39</v>
      </c>
      <c r="X26" s="295">
        <f t="shared" si="8"/>
        <v>9</v>
      </c>
      <c r="Y26" s="295">
        <f t="shared" si="8"/>
        <v>60</v>
      </c>
      <c r="Z26" s="229">
        <f>SUM(D26:Y26)</f>
        <v>423</v>
      </c>
    </row>
    <row r="27" spans="2:27" s="225" customFormat="1">
      <c r="C27" s="222"/>
      <c r="D27" s="194"/>
      <c r="E27" s="194"/>
      <c r="F27" s="194"/>
      <c r="G27" s="226"/>
      <c r="H27" s="194"/>
      <c r="I27" s="222"/>
      <c r="J27" s="194"/>
      <c r="K27" s="194"/>
      <c r="L27" s="194"/>
      <c r="M27" s="194"/>
      <c r="N27" s="194"/>
      <c r="O27" s="194"/>
      <c r="Z27" s="231"/>
    </row>
    <row r="28" spans="2:27" s="225" customFormat="1">
      <c r="C28" s="232"/>
      <c r="D28" s="194"/>
      <c r="E28" s="194"/>
      <c r="F28" s="194"/>
      <c r="G28" s="226"/>
      <c r="H28" s="194"/>
      <c r="I28" s="222"/>
      <c r="J28" s="194"/>
      <c r="K28" s="194"/>
      <c r="L28" s="194"/>
      <c r="M28" s="194"/>
      <c r="N28" s="194"/>
      <c r="O28" s="194"/>
      <c r="Z28" s="231"/>
    </row>
    <row r="29" spans="2:27" s="225" customFormat="1">
      <c r="C29" s="222"/>
      <c r="D29" s="194"/>
      <c r="E29" s="194"/>
      <c r="F29" s="194"/>
      <c r="G29" s="226"/>
      <c r="H29" s="194"/>
      <c r="I29" s="233"/>
      <c r="J29" s="194"/>
      <c r="K29" s="194"/>
      <c r="L29" s="194"/>
      <c r="M29" s="194"/>
      <c r="N29" s="194"/>
      <c r="O29" s="194"/>
      <c r="Z29" s="231"/>
    </row>
    <row r="30" spans="2:27" s="225" customFormat="1">
      <c r="C30" s="158"/>
      <c r="D30" s="194"/>
      <c r="E30" s="194"/>
      <c r="F30" s="194"/>
      <c r="G30" s="226"/>
      <c r="H30" s="194"/>
      <c r="I30" s="222"/>
      <c r="J30" s="194"/>
      <c r="K30" s="194"/>
      <c r="L30" s="194"/>
      <c r="M30" s="194"/>
      <c r="N30" s="194"/>
      <c r="O30" s="194"/>
      <c r="Z30" s="231"/>
    </row>
    <row r="31" spans="2:27" s="225" customFormat="1">
      <c r="C31" s="158"/>
      <c r="D31" s="194"/>
      <c r="E31" s="194"/>
      <c r="F31" s="194"/>
      <c r="G31" s="226"/>
      <c r="H31" s="194"/>
      <c r="I31" s="222"/>
      <c r="J31" s="194"/>
      <c r="K31" s="194"/>
      <c r="L31" s="194"/>
      <c r="M31" s="194"/>
      <c r="N31" s="194"/>
      <c r="O31" s="194"/>
      <c r="Z31" s="231"/>
    </row>
    <row r="32" spans="2:27" s="234" customFormat="1">
      <c r="C32" s="158"/>
      <c r="E32" s="235"/>
      <c r="F32" s="235"/>
      <c r="G32" s="236"/>
      <c r="H32" s="190"/>
      <c r="I32" s="190"/>
      <c r="J32" s="190"/>
      <c r="K32" s="190"/>
      <c r="L32" s="190"/>
      <c r="M32" s="190"/>
      <c r="N32" s="190"/>
      <c r="O32" s="190"/>
      <c r="P32" s="237"/>
      <c r="Z32" s="180"/>
    </row>
    <row r="33" spans="3:26" s="234" customFormat="1">
      <c r="C33" s="158"/>
      <c r="D33" s="235"/>
      <c r="E33" s="235"/>
      <c r="F33" s="235"/>
      <c r="G33" s="236"/>
      <c r="H33" s="190"/>
      <c r="I33" s="190"/>
      <c r="J33" s="190"/>
      <c r="K33" s="190"/>
      <c r="L33" s="190"/>
      <c r="M33" s="190"/>
      <c r="N33" s="190"/>
      <c r="O33" s="190"/>
      <c r="P33" s="237"/>
      <c r="Z33" s="180"/>
    </row>
    <row r="34" spans="3:26" s="234" customFormat="1">
      <c r="C34" s="158"/>
      <c r="D34" s="235"/>
      <c r="E34" s="235"/>
      <c r="F34" s="235"/>
      <c r="G34" s="236"/>
      <c r="H34" s="190"/>
      <c r="I34" s="190"/>
      <c r="J34" s="190"/>
      <c r="K34" s="190"/>
      <c r="L34" s="190"/>
      <c r="M34" s="190"/>
      <c r="N34" s="190"/>
      <c r="O34" s="190"/>
      <c r="P34" s="237"/>
      <c r="Z34" s="180"/>
    </row>
    <row r="35" spans="3:26" s="234" customFormat="1">
      <c r="C35" s="158"/>
      <c r="D35" s="235"/>
      <c r="E35" s="235"/>
      <c r="F35" s="235"/>
      <c r="G35" s="236"/>
      <c r="H35" s="190"/>
      <c r="I35" s="190"/>
      <c r="J35" s="190"/>
      <c r="K35" s="190"/>
      <c r="L35" s="190"/>
      <c r="M35" s="190"/>
      <c r="N35" s="190"/>
      <c r="O35" s="190"/>
      <c r="P35" s="237"/>
      <c r="Z35" s="180"/>
    </row>
    <row r="36" spans="3:26" s="234" customFormat="1">
      <c r="C36" s="158"/>
      <c r="D36" s="235"/>
      <c r="E36" s="235"/>
      <c r="F36" s="235"/>
      <c r="G36" s="236"/>
      <c r="H36" s="190"/>
      <c r="I36" s="190"/>
      <c r="J36" s="190"/>
      <c r="K36" s="190"/>
      <c r="L36" s="190"/>
      <c r="M36" s="190"/>
      <c r="N36" s="190"/>
      <c r="O36" s="190"/>
      <c r="P36" s="237"/>
      <c r="Z36" s="180"/>
    </row>
    <row r="37" spans="3:26" s="234" customFormat="1">
      <c r="C37" s="158"/>
      <c r="D37" s="235"/>
      <c r="E37" s="235"/>
      <c r="F37" s="235"/>
      <c r="G37" s="236"/>
      <c r="H37" s="190"/>
      <c r="I37" s="190"/>
      <c r="J37" s="190"/>
      <c r="K37" s="190"/>
      <c r="L37" s="190"/>
      <c r="M37" s="190"/>
      <c r="N37" s="190"/>
      <c r="O37" s="190"/>
      <c r="P37" s="237"/>
      <c r="Z37" s="180"/>
    </row>
    <row r="38" spans="3:26" s="234" customFormat="1">
      <c r="C38" s="158"/>
      <c r="D38" s="235"/>
      <c r="E38" s="235"/>
      <c r="F38" s="235"/>
      <c r="G38" s="236"/>
      <c r="H38" s="190"/>
      <c r="I38" s="190"/>
      <c r="J38" s="190"/>
      <c r="K38" s="190"/>
      <c r="L38" s="190"/>
      <c r="M38" s="190"/>
      <c r="N38" s="190"/>
      <c r="O38" s="190"/>
      <c r="P38" s="237"/>
      <c r="Z38" s="180"/>
    </row>
    <row r="39" spans="3:26" s="234" customFormat="1">
      <c r="C39" s="158"/>
      <c r="D39" s="235"/>
      <c r="E39" s="235"/>
      <c r="F39" s="235"/>
      <c r="G39" s="236"/>
      <c r="H39" s="190"/>
      <c r="I39" s="190"/>
      <c r="J39" s="190"/>
      <c r="K39" s="190"/>
      <c r="L39" s="190"/>
      <c r="M39" s="190"/>
      <c r="N39" s="190"/>
      <c r="O39" s="190"/>
      <c r="P39" s="237"/>
      <c r="Z39" s="180"/>
    </row>
    <row r="40" spans="3:26" s="234" customFormat="1">
      <c r="C40" s="158"/>
      <c r="D40" s="235"/>
      <c r="E40" s="235"/>
      <c r="F40" s="235"/>
      <c r="G40" s="236"/>
      <c r="H40" s="190"/>
      <c r="I40" s="190"/>
      <c r="J40" s="190"/>
      <c r="K40" s="190"/>
      <c r="L40" s="190"/>
      <c r="M40" s="190"/>
      <c r="N40" s="190"/>
      <c r="O40" s="190"/>
      <c r="P40" s="237"/>
      <c r="Z40" s="180"/>
    </row>
    <row r="41" spans="3:26" s="234" customFormat="1">
      <c r="C41" s="158"/>
      <c r="D41" s="235"/>
      <c r="E41" s="235"/>
      <c r="F41" s="235"/>
      <c r="G41" s="236"/>
      <c r="H41" s="190"/>
      <c r="I41" s="190"/>
      <c r="J41" s="190"/>
      <c r="K41" s="190"/>
      <c r="L41" s="190"/>
      <c r="M41" s="190"/>
      <c r="N41" s="190"/>
      <c r="O41" s="190"/>
      <c r="P41" s="237"/>
      <c r="Z41" s="180"/>
    </row>
    <row r="42" spans="3:26" s="234" customFormat="1">
      <c r="C42" s="158"/>
      <c r="D42" s="235"/>
      <c r="E42" s="235"/>
      <c r="F42" s="235"/>
      <c r="G42" s="236"/>
      <c r="H42" s="190"/>
      <c r="I42" s="190"/>
      <c r="J42" s="190"/>
      <c r="K42" s="190"/>
      <c r="L42" s="190"/>
      <c r="M42" s="190"/>
      <c r="N42" s="190"/>
      <c r="O42" s="190"/>
      <c r="P42" s="237"/>
      <c r="Z42" s="180"/>
    </row>
    <row r="43" spans="3:26" s="234" customFormat="1">
      <c r="C43" s="158"/>
      <c r="D43" s="235"/>
      <c r="E43" s="235"/>
      <c r="F43" s="235"/>
      <c r="G43" s="236"/>
      <c r="H43" s="190"/>
      <c r="I43" s="190"/>
      <c r="J43" s="190"/>
      <c r="K43" s="190"/>
      <c r="L43" s="190"/>
      <c r="M43" s="190"/>
      <c r="N43" s="190"/>
      <c r="O43" s="190"/>
      <c r="P43" s="237"/>
      <c r="Z43" s="180"/>
    </row>
    <row r="44" spans="3:26" s="234" customFormat="1">
      <c r="C44" s="158"/>
      <c r="D44" s="235"/>
      <c r="E44" s="235"/>
      <c r="F44" s="235"/>
      <c r="G44" s="236"/>
      <c r="H44" s="190"/>
      <c r="I44" s="190"/>
      <c r="J44" s="190"/>
      <c r="K44" s="190"/>
      <c r="L44" s="190"/>
      <c r="M44" s="190"/>
      <c r="N44" s="190"/>
      <c r="O44" s="190"/>
      <c r="P44" s="237"/>
      <c r="Z44" s="180"/>
    </row>
    <row r="45" spans="3:26" s="234" customFormat="1">
      <c r="C45" s="158"/>
      <c r="D45" s="235"/>
      <c r="E45" s="235"/>
      <c r="F45" s="235"/>
      <c r="G45" s="236"/>
      <c r="H45" s="190"/>
      <c r="I45" s="190"/>
      <c r="J45" s="190"/>
      <c r="K45" s="190"/>
      <c r="L45" s="190"/>
      <c r="M45" s="190"/>
      <c r="N45" s="190"/>
      <c r="O45" s="190"/>
      <c r="P45" s="237"/>
      <c r="Z45" s="180"/>
    </row>
    <row r="46" spans="3:26" s="234" customFormat="1">
      <c r="C46" s="158"/>
      <c r="D46" s="235"/>
      <c r="E46" s="235"/>
      <c r="F46" s="235"/>
      <c r="G46" s="236"/>
      <c r="H46" s="190"/>
      <c r="I46" s="190"/>
      <c r="J46" s="190"/>
      <c r="K46" s="190"/>
      <c r="L46" s="190"/>
      <c r="M46" s="190"/>
      <c r="N46" s="190"/>
      <c r="O46" s="190"/>
      <c r="P46" s="237"/>
      <c r="Z46" s="180"/>
    </row>
    <row r="47" spans="3:26" s="234" customFormat="1">
      <c r="C47" s="235"/>
      <c r="D47" s="235"/>
      <c r="E47" s="235"/>
      <c r="F47" s="235"/>
      <c r="G47" s="236"/>
      <c r="H47" s="190"/>
      <c r="I47" s="190"/>
      <c r="J47" s="190"/>
      <c r="K47" s="190"/>
      <c r="L47" s="190"/>
      <c r="M47" s="190"/>
      <c r="N47" s="190"/>
      <c r="O47" s="190"/>
      <c r="P47" s="237"/>
      <c r="Z47" s="180"/>
    </row>
    <row r="48" spans="3:26" s="234" customFormat="1">
      <c r="C48" s="235"/>
      <c r="D48" s="235"/>
      <c r="E48" s="235"/>
      <c r="F48" s="235"/>
      <c r="G48" s="236"/>
      <c r="H48" s="190"/>
      <c r="I48" s="190"/>
      <c r="J48" s="190"/>
      <c r="K48" s="190"/>
      <c r="L48" s="190"/>
      <c r="M48" s="190"/>
      <c r="N48" s="190"/>
      <c r="O48" s="190"/>
      <c r="P48" s="237"/>
      <c r="Z48" s="180"/>
    </row>
    <row r="49" spans="3:26" s="234" customFormat="1">
      <c r="C49" s="235"/>
      <c r="D49" s="235"/>
      <c r="E49" s="235"/>
      <c r="F49" s="235"/>
      <c r="G49" s="236"/>
      <c r="H49" s="190"/>
      <c r="I49" s="190"/>
      <c r="J49" s="190"/>
      <c r="K49" s="190"/>
      <c r="L49" s="190"/>
      <c r="M49" s="190"/>
      <c r="N49" s="190"/>
      <c r="O49" s="190"/>
      <c r="P49" s="237"/>
      <c r="Z49" s="180"/>
    </row>
    <row r="50" spans="3:26" s="234" customFormat="1">
      <c r="C50" s="235"/>
      <c r="D50" s="235"/>
      <c r="E50" s="235"/>
      <c r="F50" s="235"/>
      <c r="G50" s="236"/>
      <c r="H50" s="190"/>
      <c r="I50" s="190"/>
      <c r="J50" s="190"/>
      <c r="K50" s="190"/>
      <c r="L50" s="190"/>
      <c r="M50" s="190"/>
      <c r="N50" s="190"/>
      <c r="O50" s="190"/>
      <c r="P50" s="237"/>
      <c r="Z50" s="180"/>
    </row>
    <row r="51" spans="3:26" s="234" customFormat="1">
      <c r="C51" s="235"/>
      <c r="D51" s="235"/>
      <c r="E51" s="235"/>
      <c r="F51" s="235"/>
      <c r="G51" s="236"/>
      <c r="H51" s="190"/>
      <c r="I51" s="190"/>
      <c r="J51" s="190"/>
      <c r="K51" s="190"/>
      <c r="L51" s="190"/>
      <c r="M51" s="190"/>
      <c r="N51" s="190"/>
      <c r="O51" s="190"/>
      <c r="P51" s="237"/>
      <c r="Z51" s="180"/>
    </row>
    <row r="52" spans="3:26" s="234" customFormat="1">
      <c r="C52" s="235"/>
      <c r="D52" s="235"/>
      <c r="E52" s="235"/>
      <c r="F52" s="235"/>
      <c r="G52" s="236"/>
      <c r="H52" s="190"/>
      <c r="I52" s="190"/>
      <c r="J52" s="190"/>
      <c r="K52" s="190"/>
      <c r="L52" s="190"/>
      <c r="M52" s="190"/>
      <c r="N52" s="190"/>
      <c r="O52" s="190"/>
      <c r="P52" s="237"/>
      <c r="Z52" s="180"/>
    </row>
    <row r="53" spans="3:26" s="234" customFormat="1">
      <c r="C53" s="235"/>
      <c r="D53" s="235"/>
      <c r="E53" s="235"/>
      <c r="F53" s="235"/>
      <c r="G53" s="236"/>
      <c r="H53" s="190"/>
      <c r="I53" s="190"/>
      <c r="J53" s="190"/>
      <c r="K53" s="190"/>
      <c r="L53" s="190"/>
      <c r="M53" s="190"/>
      <c r="N53" s="190"/>
      <c r="O53" s="190"/>
      <c r="P53" s="237"/>
      <c r="Z53" s="180"/>
    </row>
    <row r="54" spans="3:26" s="234" customFormat="1">
      <c r="C54" s="235"/>
      <c r="D54" s="235"/>
      <c r="E54" s="235"/>
      <c r="F54" s="235"/>
      <c r="G54" s="236"/>
      <c r="H54" s="190"/>
      <c r="I54" s="190"/>
      <c r="J54" s="190"/>
      <c r="K54" s="190"/>
      <c r="L54" s="190"/>
      <c r="M54" s="190"/>
      <c r="N54" s="190"/>
      <c r="O54" s="190"/>
      <c r="P54" s="237"/>
      <c r="Z54" s="180"/>
    </row>
    <row r="55" spans="3:26" s="234" customFormat="1">
      <c r="C55" s="235"/>
      <c r="D55" s="235"/>
      <c r="E55" s="235"/>
      <c r="F55" s="235"/>
      <c r="G55" s="236"/>
      <c r="H55" s="190"/>
      <c r="I55" s="190"/>
      <c r="J55" s="190"/>
      <c r="K55" s="190"/>
      <c r="L55" s="190"/>
      <c r="M55" s="190"/>
      <c r="N55" s="190"/>
      <c r="O55" s="190"/>
      <c r="P55" s="237"/>
      <c r="Z55" s="180"/>
    </row>
    <row r="56" spans="3:26" s="234" customFormat="1">
      <c r="C56" s="235"/>
      <c r="D56" s="235"/>
      <c r="E56" s="235"/>
      <c r="F56" s="235"/>
      <c r="G56" s="236"/>
      <c r="H56" s="190"/>
      <c r="I56" s="190"/>
      <c r="J56" s="190"/>
      <c r="K56" s="190"/>
      <c r="L56" s="190"/>
      <c r="M56" s="190"/>
      <c r="N56" s="190"/>
      <c r="O56" s="190"/>
      <c r="P56" s="237"/>
      <c r="Z56" s="180"/>
    </row>
    <row r="57" spans="3:26" s="234" customFormat="1">
      <c r="C57" s="235"/>
      <c r="D57" s="235"/>
      <c r="E57" s="235"/>
      <c r="F57" s="235"/>
      <c r="G57" s="236"/>
      <c r="H57" s="190"/>
      <c r="I57" s="190"/>
      <c r="J57" s="190"/>
      <c r="K57" s="190"/>
      <c r="L57" s="190"/>
      <c r="M57" s="190"/>
      <c r="N57" s="190"/>
      <c r="O57" s="190"/>
      <c r="P57" s="237"/>
      <c r="Z57" s="180"/>
    </row>
    <row r="58" spans="3:26" s="234" customFormat="1">
      <c r="C58" s="235"/>
      <c r="D58" s="235"/>
      <c r="E58" s="235"/>
      <c r="F58" s="235"/>
      <c r="G58" s="236"/>
      <c r="H58" s="190"/>
      <c r="I58" s="190"/>
      <c r="J58" s="190"/>
      <c r="K58" s="190"/>
      <c r="L58" s="190"/>
      <c r="M58" s="190"/>
      <c r="N58" s="190"/>
      <c r="O58" s="190"/>
      <c r="P58" s="237"/>
      <c r="Z58" s="180"/>
    </row>
    <row r="59" spans="3:26" s="234" customFormat="1">
      <c r="C59" s="235"/>
      <c r="D59" s="235"/>
      <c r="E59" s="235"/>
      <c r="F59" s="235"/>
      <c r="G59" s="236"/>
      <c r="H59" s="190"/>
      <c r="I59" s="190"/>
      <c r="J59" s="190"/>
      <c r="K59" s="190"/>
      <c r="L59" s="190"/>
      <c r="M59" s="190"/>
      <c r="N59" s="190"/>
      <c r="O59" s="190"/>
      <c r="P59" s="237"/>
      <c r="Z59" s="180"/>
    </row>
    <row r="60" spans="3:26" s="234" customFormat="1">
      <c r="C60" s="235"/>
      <c r="D60" s="235"/>
      <c r="E60" s="235"/>
      <c r="F60" s="235"/>
      <c r="G60" s="236"/>
      <c r="H60" s="190"/>
      <c r="I60" s="190"/>
      <c r="J60" s="190"/>
      <c r="K60" s="190"/>
      <c r="L60" s="190"/>
      <c r="M60" s="190"/>
      <c r="N60" s="190"/>
      <c r="O60" s="190"/>
      <c r="P60" s="237"/>
      <c r="Z60" s="180"/>
    </row>
    <row r="61" spans="3:26" s="234" customFormat="1">
      <c r="C61" s="235"/>
      <c r="D61" s="235"/>
      <c r="E61" s="235"/>
      <c r="F61" s="235"/>
      <c r="G61" s="236"/>
      <c r="H61" s="190"/>
      <c r="I61" s="190"/>
      <c r="J61" s="190"/>
      <c r="K61" s="190"/>
      <c r="L61" s="190"/>
      <c r="M61" s="190"/>
      <c r="N61" s="190"/>
      <c r="O61" s="190"/>
      <c r="P61" s="237"/>
      <c r="Z61" s="180"/>
    </row>
    <row r="62" spans="3:26" s="234" customFormat="1">
      <c r="C62" s="235"/>
      <c r="D62" s="235"/>
      <c r="E62" s="235"/>
      <c r="F62" s="235"/>
      <c r="G62" s="236"/>
      <c r="H62" s="190"/>
      <c r="I62" s="190"/>
      <c r="J62" s="190"/>
      <c r="K62" s="190"/>
      <c r="L62" s="190"/>
      <c r="M62" s="190"/>
      <c r="N62" s="190"/>
      <c r="O62" s="190"/>
      <c r="P62" s="237"/>
      <c r="Z62" s="180"/>
    </row>
    <row r="63" spans="3:26" s="234" customFormat="1">
      <c r="C63" s="235"/>
      <c r="D63" s="235"/>
      <c r="E63" s="235"/>
      <c r="F63" s="235"/>
      <c r="G63" s="236"/>
      <c r="H63" s="190"/>
      <c r="I63" s="190"/>
      <c r="J63" s="190"/>
      <c r="K63" s="190"/>
      <c r="L63" s="190"/>
      <c r="M63" s="190"/>
      <c r="N63" s="190"/>
      <c r="O63" s="190"/>
      <c r="P63" s="237"/>
      <c r="Z63" s="180"/>
    </row>
    <row r="64" spans="3:26" s="234" customFormat="1">
      <c r="C64" s="235"/>
      <c r="D64" s="235"/>
      <c r="E64" s="235"/>
      <c r="F64" s="235"/>
      <c r="G64" s="236"/>
      <c r="H64" s="190"/>
      <c r="I64" s="190"/>
      <c r="J64" s="190"/>
      <c r="K64" s="190"/>
      <c r="L64" s="190"/>
      <c r="M64" s="190"/>
      <c r="N64" s="190"/>
      <c r="O64" s="190"/>
      <c r="P64" s="237"/>
      <c r="Z64" s="180"/>
    </row>
    <row r="65" spans="3:26" s="234" customFormat="1">
      <c r="C65" s="235"/>
      <c r="D65" s="235"/>
      <c r="E65" s="235"/>
      <c r="F65" s="235"/>
      <c r="G65" s="236"/>
      <c r="H65" s="190"/>
      <c r="I65" s="190"/>
      <c r="J65" s="190"/>
      <c r="K65" s="190"/>
      <c r="L65" s="190"/>
      <c r="M65" s="190"/>
      <c r="N65" s="190"/>
      <c r="O65" s="190"/>
      <c r="P65" s="237"/>
      <c r="Z65" s="180"/>
    </row>
    <row r="66" spans="3:26" s="234" customFormat="1">
      <c r="C66" s="235"/>
      <c r="D66" s="235"/>
      <c r="E66" s="235"/>
      <c r="F66" s="235"/>
      <c r="G66" s="236"/>
      <c r="H66" s="190"/>
      <c r="I66" s="190"/>
      <c r="J66" s="190"/>
      <c r="K66" s="190"/>
      <c r="L66" s="190"/>
      <c r="M66" s="190"/>
      <c r="N66" s="190"/>
      <c r="O66" s="190"/>
      <c r="P66" s="237"/>
      <c r="Z66" s="180"/>
    </row>
    <row r="67" spans="3:26" s="234" customFormat="1">
      <c r="C67" s="235"/>
      <c r="D67" s="235"/>
      <c r="E67" s="235"/>
      <c r="F67" s="235"/>
      <c r="G67" s="236"/>
      <c r="H67" s="190"/>
      <c r="I67" s="190"/>
      <c r="J67" s="190"/>
      <c r="K67" s="190"/>
      <c r="L67" s="190"/>
      <c r="M67" s="190"/>
      <c r="N67" s="190"/>
      <c r="O67" s="190"/>
      <c r="P67" s="237"/>
      <c r="Z67" s="180"/>
    </row>
    <row r="68" spans="3:26" s="234" customFormat="1">
      <c r="C68" s="235"/>
      <c r="D68" s="235"/>
      <c r="E68" s="235"/>
      <c r="F68" s="235"/>
      <c r="G68" s="236"/>
      <c r="H68" s="190"/>
      <c r="I68" s="190"/>
      <c r="J68" s="190"/>
      <c r="K68" s="190"/>
      <c r="L68" s="190"/>
      <c r="M68" s="190"/>
      <c r="N68" s="190"/>
      <c r="O68" s="190"/>
      <c r="P68" s="237"/>
      <c r="Z68" s="180"/>
    </row>
    <row r="69" spans="3:26" s="234" customFormat="1">
      <c r="C69" s="235"/>
      <c r="D69" s="235"/>
      <c r="E69" s="235"/>
      <c r="F69" s="235"/>
      <c r="G69" s="236"/>
      <c r="H69" s="190"/>
      <c r="I69" s="190"/>
      <c r="J69" s="190"/>
      <c r="K69" s="190"/>
      <c r="L69" s="190"/>
      <c r="M69" s="190"/>
      <c r="N69" s="190"/>
      <c r="O69" s="190"/>
      <c r="P69" s="237"/>
      <c r="Z69" s="180"/>
    </row>
    <row r="70" spans="3:26" s="234" customFormat="1">
      <c r="C70" s="235"/>
      <c r="D70" s="235"/>
      <c r="E70" s="235"/>
      <c r="F70" s="235"/>
      <c r="G70" s="236"/>
      <c r="H70" s="190"/>
      <c r="I70" s="190"/>
      <c r="J70" s="190"/>
      <c r="K70" s="190"/>
      <c r="L70" s="190"/>
      <c r="M70" s="190"/>
      <c r="N70" s="190"/>
      <c r="O70" s="190"/>
      <c r="P70" s="237"/>
      <c r="Z70" s="180"/>
    </row>
    <row r="71" spans="3:26" s="234" customFormat="1">
      <c r="C71" s="235"/>
      <c r="D71" s="235"/>
      <c r="E71" s="235"/>
      <c r="F71" s="235"/>
      <c r="G71" s="236"/>
      <c r="H71" s="190"/>
      <c r="I71" s="190"/>
      <c r="J71" s="190"/>
      <c r="K71" s="190"/>
      <c r="L71" s="190"/>
      <c r="M71" s="190"/>
      <c r="N71" s="190"/>
      <c r="O71" s="190"/>
      <c r="P71" s="237"/>
      <c r="Z71" s="180"/>
    </row>
  </sheetData>
  <sheetProtection selectLockedCells="1"/>
  <phoneticPr fontId="0" type="noConversion"/>
  <pageMargins left="0.75" right="0.75" top="1" bottom="1" header="0.5" footer="0.5"/>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enableFormatConditionsCalculation="0">
    <tabColor indexed="39"/>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27"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 t="s">
        <v>66</v>
      </c>
    </row>
    <row r="2" spans="3:27">
      <c r="F2" s="3"/>
    </row>
    <row r="3" spans="3:27" s="4" customFormat="1" ht="13.5" thickBot="1">
      <c r="C3" s="31"/>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ht="13.5" thickTop="1">
      <c r="C4"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s="27"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s="27"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s="55"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96" customFormat="1">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Z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 t="shared" si="2"/>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s="49"/>
      <c r="D24" s="126" t="e">
        <f>VLOOKUP($C24,Score!$B$2:$X$71,2,0)</f>
        <v>#N/A</v>
      </c>
      <c r="E24" s="126" t="e">
        <f>VLOOKUP($C24,Score!$B$2:$X$71,2,0)</f>
        <v>#N/A</v>
      </c>
      <c r="F24" s="126" t="e">
        <f>VLOOKUP($C24,Score!$B$2:$X$71,2,0)</f>
        <v>#N/A</v>
      </c>
      <c r="G24" s="126" t="e">
        <f>VLOOKUP($C24,Score!$B$2:$X$71,2,0)</f>
        <v>#N/A</v>
      </c>
      <c r="H24" s="126" t="e">
        <f>VLOOKUP($C24,Score!$B$2:$X$71,2,0)</f>
        <v>#N/A</v>
      </c>
      <c r="I24" s="126" t="e">
        <f>VLOOKUP($C24,Score!$B$2:$X$71,2,0)</f>
        <v>#N/A</v>
      </c>
      <c r="J24" s="126" t="e">
        <f>VLOOKUP($C24,Score!$B$2:$X$71,2,0)</f>
        <v>#N/A</v>
      </c>
      <c r="K24" s="126" t="e">
        <f>VLOOKUP($C24,Score!$B$2:$X$71,2,0)</f>
        <v>#N/A</v>
      </c>
      <c r="L24" s="126" t="e">
        <f>VLOOKUP($C24,Score!$B$2:$X$71,2,0)</f>
        <v>#N/A</v>
      </c>
      <c r="M24" s="126" t="e">
        <f>VLOOKUP($C24,Score!$B$2:$X$71,2,0)</f>
        <v>#N/A</v>
      </c>
      <c r="N24" s="126" t="e">
        <f>VLOOKUP($C24,Score!$B$2:$X$71,2,0)</f>
        <v>#N/A</v>
      </c>
      <c r="O24" s="126" t="e">
        <f>VLOOKUP($C24,Score!$B$2:$X$71,2,0)</f>
        <v>#N/A</v>
      </c>
      <c r="P24" s="126" t="e">
        <f>VLOOKUP($C24,Score!$B$2:$X$71,2,0)</f>
        <v>#N/A</v>
      </c>
      <c r="Q24" s="126" t="e">
        <f>VLOOKUP($C24,Score!$B$2:$X$71,2,0)</f>
        <v>#N/A</v>
      </c>
      <c r="R24" s="126" t="e">
        <f>VLOOKUP($C24,Score!$B$2:$X$71,2,0)</f>
        <v>#N/A</v>
      </c>
      <c r="S24" s="126" t="e">
        <f>VLOOKUP($C24,Score!$B$2:$X$71,2,0)</f>
        <v>#N/A</v>
      </c>
      <c r="T24" s="126" t="e">
        <f>VLOOKUP($C24,Score!$B$2:$X$71,2,0)</f>
        <v>#N/A</v>
      </c>
      <c r="U24" s="126" t="e">
        <f>VLOOKUP($C24,Score!$B$2:$X$71,2,0)</f>
        <v>#N/A</v>
      </c>
      <c r="V24" s="126" t="e">
        <f>VLOOKUP($C24,Score!$B$2:$X$71,2,0)</f>
        <v>#N/A</v>
      </c>
      <c r="W24" s="126" t="e">
        <f>VLOOKUP($C24,Score!$B$2:$X$71,2,0)</f>
        <v>#N/A</v>
      </c>
      <c r="X24" s="126" t="e">
        <f>VLOOKUP($C24,Score!$B$2:$X$71,2,0)</f>
        <v>#N/A</v>
      </c>
      <c r="Y24" s="126" t="e">
        <f>VLOOKUP($C24,Score!$B$2:$X$71,2,0)</f>
        <v>#N/A</v>
      </c>
      <c r="Z24" s="126" t="e">
        <f>VLOOKUP($C24,Score!$B$2:$X$71,2,0)</f>
        <v>#N/A</v>
      </c>
    </row>
    <row r="25" spans="3:27" s="83" customFormat="1">
      <c r="C25" s="49"/>
      <c r="D25" s="126" t="e">
        <f>VLOOKUP($C25,Score!$B$2:$X$71,2,0)</f>
        <v>#N/A</v>
      </c>
      <c r="E25" s="126" t="e">
        <f>VLOOKUP($C25,Score!$B$2:$X$71,2,0)</f>
        <v>#N/A</v>
      </c>
      <c r="F25" s="126" t="e">
        <f>VLOOKUP($C25,Score!$B$2:$X$71,2,0)</f>
        <v>#N/A</v>
      </c>
      <c r="G25" s="126" t="e">
        <f>VLOOKUP($C25,Score!$B$2:$X$71,2,0)</f>
        <v>#N/A</v>
      </c>
      <c r="H25" s="126" t="e">
        <f>VLOOKUP($C25,Score!$B$2:$X$71,2,0)</f>
        <v>#N/A</v>
      </c>
      <c r="I25" s="126" t="e">
        <f>VLOOKUP($C25,Score!$B$2:$X$71,2,0)</f>
        <v>#N/A</v>
      </c>
      <c r="J25" s="126" t="e">
        <f>VLOOKUP($C25,Score!$B$2:$X$71,2,0)</f>
        <v>#N/A</v>
      </c>
      <c r="K25" s="126" t="e">
        <f>VLOOKUP($C25,Score!$B$2:$X$71,2,0)</f>
        <v>#N/A</v>
      </c>
      <c r="L25" s="126" t="e">
        <f>VLOOKUP($C25,Score!$B$2:$X$71,2,0)</f>
        <v>#N/A</v>
      </c>
      <c r="M25" s="126" t="e">
        <f>VLOOKUP($C25,Score!$B$2:$X$71,2,0)</f>
        <v>#N/A</v>
      </c>
      <c r="N25" s="126" t="e">
        <f>VLOOKUP($C25,Score!$B$2:$X$71,2,0)</f>
        <v>#N/A</v>
      </c>
      <c r="O25" s="126" t="e">
        <f>VLOOKUP($C25,Score!$B$2:$X$71,2,0)</f>
        <v>#N/A</v>
      </c>
      <c r="P25" s="126" t="e">
        <f>VLOOKUP($C25,Score!$B$2:$X$71,2,0)</f>
        <v>#N/A</v>
      </c>
      <c r="Q25" s="126" t="e">
        <f>VLOOKUP($C25,Score!$B$2:$X$71,2,0)</f>
        <v>#N/A</v>
      </c>
      <c r="R25" s="126" t="e">
        <f>VLOOKUP($C25,Score!$B$2:$X$71,2,0)</f>
        <v>#N/A</v>
      </c>
      <c r="S25" s="126" t="e">
        <f>VLOOKUP($C25,Score!$B$2:$X$71,2,0)</f>
        <v>#N/A</v>
      </c>
      <c r="T25" s="126" t="e">
        <f>VLOOKUP($C25,Score!$B$2:$X$71,2,0)</f>
        <v>#N/A</v>
      </c>
      <c r="U25" s="126" t="e">
        <f>VLOOKUP($C25,Score!$B$2:$X$71,2,0)</f>
        <v>#N/A</v>
      </c>
      <c r="V25" s="126" t="e">
        <f>VLOOKUP($C25,Score!$B$2:$X$71,2,0)</f>
        <v>#N/A</v>
      </c>
      <c r="W25" s="126" t="e">
        <f>VLOOKUP($C25,Score!$B$2:$X$71,2,0)</f>
        <v>#N/A</v>
      </c>
      <c r="X25" s="126" t="e">
        <f>VLOOKUP($C25,Score!$B$2:$X$71,2,0)</f>
        <v>#N/A</v>
      </c>
      <c r="Y25" s="126" t="e">
        <f>VLOOKUP($C25,Score!$B$2:$X$71,2,0)</f>
        <v>#N/A</v>
      </c>
      <c r="Z25" s="126" t="e">
        <f>VLOOKUP($C25,Score!$B$2:$X$71,2,0)</f>
        <v>#N/A</v>
      </c>
    </row>
    <row r="26" spans="3:27" s="83" customFormat="1">
      <c r="C26" s="49"/>
      <c r="D26" s="126" t="e">
        <f>VLOOKUP($C26,Score!$B$2:$X$71,2,0)</f>
        <v>#N/A</v>
      </c>
      <c r="E26" s="126" t="e">
        <f>VLOOKUP($C26,Score!$B$2:$X$71,2,0)</f>
        <v>#N/A</v>
      </c>
      <c r="F26" s="126" t="e">
        <f>VLOOKUP($C26,Score!$B$2:$X$71,2,0)</f>
        <v>#N/A</v>
      </c>
      <c r="G26" s="126" t="e">
        <f>VLOOKUP($C26,Score!$B$2:$X$71,2,0)</f>
        <v>#N/A</v>
      </c>
      <c r="H26" s="126" t="e">
        <f>VLOOKUP($C26,Score!$B$2:$X$71,2,0)</f>
        <v>#N/A</v>
      </c>
      <c r="I26" s="126" t="e">
        <f>VLOOKUP($C26,Score!$B$2:$X$71,2,0)</f>
        <v>#N/A</v>
      </c>
      <c r="J26" s="126" t="e">
        <f>VLOOKUP($C26,Score!$B$2:$X$71,2,0)</f>
        <v>#N/A</v>
      </c>
      <c r="K26" s="126" t="e">
        <f>VLOOKUP($C26,Score!$B$2:$X$71,2,0)</f>
        <v>#N/A</v>
      </c>
      <c r="L26" s="126" t="e">
        <f>VLOOKUP($C26,Score!$B$2:$X$71,2,0)</f>
        <v>#N/A</v>
      </c>
      <c r="M26" s="126" t="e">
        <f>VLOOKUP($C26,Score!$B$2:$X$71,2,0)</f>
        <v>#N/A</v>
      </c>
      <c r="N26" s="126" t="e">
        <f>VLOOKUP($C26,Score!$B$2:$X$71,2,0)</f>
        <v>#N/A</v>
      </c>
      <c r="O26" s="126" t="e">
        <f>VLOOKUP($C26,Score!$B$2:$X$71,2,0)</f>
        <v>#N/A</v>
      </c>
      <c r="P26" s="126" t="e">
        <f>VLOOKUP($C26,Score!$B$2:$X$71,2,0)</f>
        <v>#N/A</v>
      </c>
      <c r="Q26" s="126" t="e">
        <f>VLOOKUP($C26,Score!$B$2:$X$71,2,0)</f>
        <v>#N/A</v>
      </c>
      <c r="R26" s="126" t="e">
        <f>VLOOKUP($C26,Score!$B$2:$X$71,2,0)</f>
        <v>#N/A</v>
      </c>
      <c r="S26" s="126" t="e">
        <f>VLOOKUP($C26,Score!$B$2:$X$71,2,0)</f>
        <v>#N/A</v>
      </c>
      <c r="T26" s="126" t="e">
        <f>VLOOKUP($C26,Score!$B$2:$X$71,2,0)</f>
        <v>#N/A</v>
      </c>
      <c r="U26" s="126" t="e">
        <f>VLOOKUP($C26,Score!$B$2:$X$71,2,0)</f>
        <v>#N/A</v>
      </c>
      <c r="V26" s="126" t="e">
        <f>VLOOKUP($C26,Score!$B$2:$X$71,2,0)</f>
        <v>#N/A</v>
      </c>
      <c r="W26" s="126" t="e">
        <f>VLOOKUP($C26,Score!$B$2:$X$71,2,0)</f>
        <v>#N/A</v>
      </c>
      <c r="X26" s="126" t="e">
        <f>VLOOKUP($C26,Score!$B$2:$X$71,2,0)</f>
        <v>#N/A</v>
      </c>
      <c r="Y26" s="126" t="e">
        <f>VLOOKUP($C26,Score!$B$2:$X$71,2,0)</f>
        <v>#N/A</v>
      </c>
      <c r="Z26" s="126" t="e">
        <f>VLOOKUP($C26,Score!$B$2:$X$71,2,0)</f>
        <v>#N/A</v>
      </c>
    </row>
    <row r="27" spans="3:27" s="67" customFormat="1">
      <c r="C27" s="37"/>
      <c r="D27" s="56"/>
      <c r="E27" s="56"/>
      <c r="F27" s="57"/>
      <c r="G27" s="56"/>
      <c r="H27" s="56"/>
      <c r="I27" s="56"/>
      <c r="J27" s="56"/>
      <c r="K27" s="56"/>
      <c r="L27" s="56"/>
      <c r="M27" s="56"/>
      <c r="N27" s="56"/>
      <c r="Z27" s="60"/>
    </row>
    <row r="28" spans="3:27" s="67" customFormat="1">
      <c r="C28" s="37"/>
      <c r="D28" s="56"/>
      <c r="E28" s="56"/>
      <c r="F28" s="57"/>
      <c r="G28" s="56"/>
      <c r="H28" s="56"/>
      <c r="I28" s="56"/>
      <c r="J28" s="56"/>
      <c r="K28" s="56"/>
      <c r="L28" s="56"/>
      <c r="M28" s="56"/>
      <c r="N28" s="56"/>
      <c r="Z28" s="60"/>
    </row>
    <row r="29" spans="3:27" s="67" customFormat="1">
      <c r="C29" s="37"/>
      <c r="D29" s="56"/>
      <c r="E29" s="56"/>
      <c r="F29" s="57"/>
      <c r="G29" s="56"/>
      <c r="H29" s="56"/>
      <c r="I29" s="56"/>
      <c r="J29" s="56"/>
      <c r="K29" s="56"/>
      <c r="L29" s="56"/>
      <c r="M29" s="56"/>
      <c r="N29" s="56"/>
      <c r="Z29" s="60"/>
    </row>
    <row r="30" spans="3:27" s="67" customFormat="1">
      <c r="C30" s="27"/>
      <c r="D30" s="56"/>
      <c r="E30" s="56"/>
      <c r="F30" s="57"/>
      <c r="G30" s="56"/>
      <c r="H30" s="56"/>
      <c r="I30" s="56"/>
      <c r="J30" s="56"/>
      <c r="K30" s="56"/>
      <c r="L30" s="56"/>
      <c r="M30" s="56"/>
      <c r="N30" s="56"/>
      <c r="Z30" s="60"/>
    </row>
    <row r="31" spans="3:27" s="67" customFormat="1">
      <c r="C31" s="27"/>
      <c r="D31" s="56"/>
      <c r="E31" s="56"/>
      <c r="F31" s="57"/>
      <c r="G31" s="56"/>
      <c r="H31" s="56"/>
      <c r="I31" s="56"/>
      <c r="J31" s="56"/>
      <c r="K31" s="56"/>
      <c r="L31" s="56"/>
      <c r="M31" s="56"/>
      <c r="N31" s="56"/>
      <c r="Z31" s="60"/>
    </row>
    <row r="32" spans="3:27" s="18" customFormat="1">
      <c r="C32" s="27"/>
      <c r="D32" s="14"/>
      <c r="E32" s="14"/>
      <c r="F32" s="15"/>
      <c r="G32" s="16"/>
      <c r="H32" s="16"/>
      <c r="I32" s="16"/>
      <c r="J32" s="16"/>
      <c r="K32" s="16"/>
      <c r="L32" s="16"/>
      <c r="M32" s="16"/>
      <c r="N32" s="16"/>
      <c r="O32" s="17"/>
      <c r="Z32" s="19"/>
    </row>
    <row r="33" spans="3:26" s="18" customFormat="1">
      <c r="C33" s="27"/>
      <c r="D33" s="14"/>
      <c r="E33" s="14"/>
      <c r="F33" s="15"/>
      <c r="G33" s="16"/>
      <c r="H33" s="16"/>
      <c r="I33" s="16"/>
      <c r="J33" s="16"/>
      <c r="K33" s="16"/>
      <c r="L33" s="16"/>
      <c r="M33" s="16"/>
      <c r="N33" s="16"/>
      <c r="O33" s="17"/>
      <c r="Z33" s="19"/>
    </row>
    <row r="34" spans="3:26" s="18" customFormat="1">
      <c r="C34" s="27"/>
      <c r="D34" s="14"/>
      <c r="E34" s="14"/>
      <c r="F34" s="15"/>
      <c r="G34" s="16"/>
      <c r="H34" s="16"/>
      <c r="I34" s="16"/>
      <c r="J34" s="16"/>
      <c r="K34" s="16"/>
      <c r="L34" s="16"/>
      <c r="M34" s="16"/>
      <c r="N34" s="16"/>
      <c r="O34" s="17"/>
      <c r="Z34" s="19"/>
    </row>
    <row r="35" spans="3:26" s="18" customFormat="1">
      <c r="C35" s="27"/>
      <c r="D35" s="14"/>
      <c r="E35" s="14"/>
      <c r="F35" s="15"/>
      <c r="G35" s="16"/>
      <c r="H35" s="16"/>
      <c r="I35" s="16"/>
      <c r="J35" s="16"/>
      <c r="K35" s="16"/>
      <c r="L35" s="16"/>
      <c r="M35" s="16"/>
      <c r="N35" s="16"/>
      <c r="O35" s="17"/>
      <c r="Z35" s="19"/>
    </row>
    <row r="36" spans="3:26" s="18" customFormat="1">
      <c r="C36" s="27"/>
      <c r="D36" s="14"/>
      <c r="E36" s="14"/>
      <c r="F36" s="15"/>
      <c r="G36" s="16"/>
      <c r="H36" s="16"/>
      <c r="I36" s="16"/>
      <c r="J36" s="16"/>
      <c r="K36" s="16"/>
      <c r="L36" s="16"/>
      <c r="M36" s="16"/>
      <c r="N36" s="16"/>
      <c r="O36" s="17"/>
      <c r="Z36" s="19"/>
    </row>
    <row r="37" spans="3:26" s="18" customFormat="1">
      <c r="C37" s="27"/>
      <c r="D37" s="14"/>
      <c r="E37" s="14"/>
      <c r="F37" s="15"/>
      <c r="G37" s="16"/>
      <c r="H37" s="16"/>
      <c r="I37" s="16"/>
      <c r="J37" s="16"/>
      <c r="K37" s="16"/>
      <c r="L37" s="16"/>
      <c r="M37" s="16"/>
      <c r="N37" s="16"/>
      <c r="O37" s="17"/>
      <c r="Z37" s="19"/>
    </row>
    <row r="38" spans="3:26" s="18" customFormat="1">
      <c r="C38" s="27"/>
      <c r="D38" s="14"/>
      <c r="E38" s="14"/>
      <c r="F38" s="15"/>
      <c r="G38" s="16"/>
      <c r="H38" s="16"/>
      <c r="I38" s="16"/>
      <c r="J38" s="16"/>
      <c r="K38" s="16"/>
      <c r="L38" s="16"/>
      <c r="M38" s="16"/>
      <c r="N38" s="16"/>
      <c r="O38" s="17"/>
      <c r="Z38" s="19"/>
    </row>
    <row r="39" spans="3:26" s="18" customFormat="1">
      <c r="C39" s="27"/>
      <c r="D39" s="14"/>
      <c r="E39" s="14"/>
      <c r="F39" s="15"/>
      <c r="G39" s="16"/>
      <c r="H39" s="16"/>
      <c r="I39" s="16"/>
      <c r="J39" s="16"/>
      <c r="K39" s="16"/>
      <c r="L39" s="16"/>
      <c r="M39" s="16"/>
      <c r="N39" s="16"/>
      <c r="O39" s="17"/>
      <c r="Z39" s="19"/>
    </row>
    <row r="40" spans="3:26" s="18" customFormat="1">
      <c r="C40" s="27"/>
      <c r="D40" s="14"/>
      <c r="E40" s="14"/>
      <c r="F40" s="15"/>
      <c r="G40" s="16"/>
      <c r="H40" s="16"/>
      <c r="I40" s="16"/>
      <c r="J40" s="16"/>
      <c r="K40" s="16"/>
      <c r="L40" s="16"/>
      <c r="M40" s="16"/>
      <c r="N40" s="16"/>
      <c r="O40" s="17"/>
      <c r="Z40" s="19"/>
    </row>
    <row r="41" spans="3:26" s="18" customFormat="1">
      <c r="C41" s="27"/>
      <c r="D41" s="14"/>
      <c r="E41" s="14"/>
      <c r="F41" s="15"/>
      <c r="G41" s="16"/>
      <c r="H41" s="16"/>
      <c r="I41" s="16"/>
      <c r="J41" s="16"/>
      <c r="K41" s="16"/>
      <c r="L41" s="16"/>
      <c r="M41" s="16"/>
      <c r="N41" s="16"/>
      <c r="O41" s="17"/>
      <c r="Z41" s="19"/>
    </row>
    <row r="42" spans="3:26" s="18" customFormat="1">
      <c r="C42" s="27"/>
      <c r="D42" s="14"/>
      <c r="E42" s="14"/>
      <c r="F42" s="15"/>
      <c r="G42" s="16"/>
      <c r="H42" s="16"/>
      <c r="I42" s="16"/>
      <c r="J42" s="16"/>
      <c r="K42" s="16"/>
      <c r="L42" s="16"/>
      <c r="M42" s="16"/>
      <c r="N42" s="16"/>
      <c r="O42" s="17"/>
      <c r="Z42" s="19"/>
    </row>
    <row r="43" spans="3:26" s="18" customFormat="1">
      <c r="C43" s="27"/>
      <c r="D43" s="14"/>
      <c r="E43" s="14"/>
      <c r="F43" s="15"/>
      <c r="G43" s="16"/>
      <c r="H43" s="16"/>
      <c r="I43" s="16"/>
      <c r="J43" s="16"/>
      <c r="K43" s="16"/>
      <c r="L43" s="16"/>
      <c r="M43" s="16"/>
      <c r="N43" s="16"/>
      <c r="O43" s="17"/>
      <c r="Z43" s="19"/>
    </row>
    <row r="44" spans="3:26" s="18" customFormat="1">
      <c r="C44" s="27"/>
      <c r="D44" s="14"/>
      <c r="E44" s="14"/>
      <c r="F44" s="15"/>
      <c r="G44" s="16"/>
      <c r="H44" s="16"/>
      <c r="I44" s="16"/>
      <c r="J44" s="16"/>
      <c r="K44" s="16"/>
      <c r="L44" s="16"/>
      <c r="M44" s="16"/>
      <c r="N44" s="16"/>
      <c r="O44" s="17"/>
      <c r="Z44" s="19"/>
    </row>
    <row r="45" spans="3:26" s="18" customFormat="1">
      <c r="C45" s="27"/>
      <c r="D45" s="14"/>
      <c r="E45" s="14"/>
      <c r="F45" s="15"/>
      <c r="G45" s="16"/>
      <c r="H45" s="16"/>
      <c r="I45" s="16"/>
      <c r="J45" s="16"/>
      <c r="K45" s="16"/>
      <c r="L45" s="16"/>
      <c r="M45" s="16"/>
      <c r="N45" s="16"/>
      <c r="O45" s="17"/>
      <c r="Z45" s="19"/>
    </row>
    <row r="46" spans="3:26" s="18" customFormat="1">
      <c r="C46" s="27"/>
      <c r="D46" s="14"/>
      <c r="E46" s="14"/>
      <c r="F46" s="15"/>
      <c r="G46" s="16"/>
      <c r="H46" s="16"/>
      <c r="I46" s="16"/>
      <c r="J46" s="16"/>
      <c r="K46" s="16"/>
      <c r="L46" s="16"/>
      <c r="M46" s="16"/>
      <c r="N46" s="16"/>
      <c r="O46" s="17"/>
      <c r="Z46" s="19"/>
    </row>
    <row r="47" spans="3:26" s="18" customFormat="1">
      <c r="C47" s="27"/>
      <c r="D47" s="14"/>
      <c r="E47" s="14"/>
      <c r="F47" s="15"/>
      <c r="G47" s="16"/>
      <c r="H47" s="16"/>
      <c r="I47" s="16"/>
      <c r="J47" s="16"/>
      <c r="K47" s="16"/>
      <c r="L47" s="16"/>
      <c r="M47" s="16"/>
      <c r="N47" s="16"/>
      <c r="O47" s="17"/>
      <c r="Z47" s="19"/>
    </row>
    <row r="48" spans="3:26" s="18" customFormat="1">
      <c r="C48" s="27"/>
      <c r="D48" s="14"/>
      <c r="E48" s="14"/>
      <c r="F48" s="15"/>
      <c r="G48" s="16"/>
      <c r="H48" s="16"/>
      <c r="I48" s="16"/>
      <c r="J48" s="16"/>
      <c r="K48" s="16"/>
      <c r="L48" s="16"/>
      <c r="M48" s="16"/>
      <c r="N48" s="16"/>
      <c r="O48" s="17"/>
      <c r="Z48" s="19"/>
    </row>
    <row r="49" spans="3:26" s="18" customFormat="1">
      <c r="C49" s="27"/>
      <c r="D49" s="14"/>
      <c r="E49" s="14"/>
      <c r="F49" s="15"/>
      <c r="G49" s="16"/>
      <c r="H49" s="16"/>
      <c r="I49" s="16"/>
      <c r="J49" s="16"/>
      <c r="K49" s="16"/>
      <c r="L49" s="16"/>
      <c r="M49" s="16"/>
      <c r="N49" s="16"/>
      <c r="O49" s="17"/>
      <c r="Z49" s="19"/>
    </row>
    <row r="50" spans="3:26" s="18" customFormat="1">
      <c r="C50" s="27"/>
      <c r="D50" s="14"/>
      <c r="E50" s="14"/>
      <c r="F50" s="15"/>
      <c r="G50" s="16"/>
      <c r="H50" s="16"/>
      <c r="I50" s="16"/>
      <c r="J50" s="16"/>
      <c r="K50" s="16"/>
      <c r="L50" s="16"/>
      <c r="M50" s="16"/>
      <c r="N50" s="16"/>
      <c r="O50" s="17"/>
      <c r="Z50" s="19"/>
    </row>
    <row r="51" spans="3:26" s="18" customFormat="1">
      <c r="C51" s="27"/>
      <c r="D51" s="14"/>
      <c r="E51" s="14"/>
      <c r="F51" s="15"/>
      <c r="G51" s="16"/>
      <c r="H51" s="16"/>
      <c r="I51" s="16"/>
      <c r="J51" s="16"/>
      <c r="K51" s="16"/>
      <c r="L51" s="16"/>
      <c r="M51" s="16"/>
      <c r="N51" s="16"/>
      <c r="O51" s="17"/>
      <c r="Z51" s="19"/>
    </row>
    <row r="52" spans="3:26" s="18" customFormat="1">
      <c r="C52" s="27"/>
      <c r="D52" s="14"/>
      <c r="E52" s="14"/>
      <c r="F52" s="15"/>
      <c r="G52" s="16"/>
      <c r="H52" s="16"/>
      <c r="I52" s="16"/>
      <c r="J52" s="16"/>
      <c r="K52" s="16"/>
      <c r="L52" s="16"/>
      <c r="M52" s="16"/>
      <c r="N52" s="16"/>
      <c r="O52" s="17"/>
      <c r="Z52" s="19"/>
    </row>
    <row r="53" spans="3:26" s="18" customFormat="1">
      <c r="C53" s="27"/>
      <c r="D53" s="14"/>
      <c r="E53" s="14"/>
      <c r="F53" s="15"/>
      <c r="G53" s="16"/>
      <c r="H53" s="16"/>
      <c r="I53" s="16"/>
      <c r="J53" s="16"/>
      <c r="K53" s="16"/>
      <c r="L53" s="16"/>
      <c r="M53" s="16"/>
      <c r="N53" s="16"/>
      <c r="O53" s="17"/>
      <c r="Z53" s="19"/>
    </row>
    <row r="54" spans="3:26" s="18" customFormat="1">
      <c r="C54" s="27"/>
      <c r="D54" s="14"/>
      <c r="E54" s="14"/>
      <c r="F54" s="15"/>
      <c r="G54" s="16"/>
      <c r="H54" s="16"/>
      <c r="I54" s="16"/>
      <c r="J54" s="16"/>
      <c r="K54" s="16"/>
      <c r="L54" s="16"/>
      <c r="M54" s="16"/>
      <c r="N54" s="16"/>
      <c r="O54" s="17"/>
      <c r="Z54" s="19"/>
    </row>
    <row r="55" spans="3:26" s="18" customFormat="1">
      <c r="C55" s="27"/>
      <c r="D55" s="14"/>
      <c r="E55" s="14"/>
      <c r="F55" s="15"/>
      <c r="G55" s="16"/>
      <c r="H55" s="16"/>
      <c r="I55" s="16"/>
      <c r="J55" s="16"/>
      <c r="K55" s="16"/>
      <c r="L55" s="16"/>
      <c r="M55" s="16"/>
      <c r="N55" s="16"/>
      <c r="O55" s="17"/>
      <c r="Z55" s="19"/>
    </row>
    <row r="56" spans="3:26" s="18" customFormat="1">
      <c r="C56" s="27"/>
      <c r="D56" s="14"/>
      <c r="E56" s="14"/>
      <c r="F56" s="15"/>
      <c r="G56" s="16"/>
      <c r="H56" s="16"/>
      <c r="I56" s="16"/>
      <c r="J56" s="16"/>
      <c r="K56" s="16"/>
      <c r="L56" s="16"/>
      <c r="M56" s="16"/>
      <c r="N56" s="16"/>
      <c r="O56" s="17"/>
      <c r="Z56" s="19"/>
    </row>
    <row r="57" spans="3:26" s="18" customFormat="1">
      <c r="C57" s="27"/>
      <c r="D57" s="14"/>
      <c r="E57" s="14"/>
      <c r="F57" s="15"/>
      <c r="G57" s="16"/>
      <c r="H57" s="16"/>
      <c r="I57" s="16"/>
      <c r="J57" s="16"/>
      <c r="K57" s="16"/>
      <c r="L57" s="16"/>
      <c r="M57" s="16"/>
      <c r="N57" s="16"/>
      <c r="O57" s="17"/>
      <c r="Z57" s="19"/>
    </row>
    <row r="58" spans="3:26" s="18" customFormat="1">
      <c r="C58" s="27"/>
      <c r="D58" s="14"/>
      <c r="E58" s="14"/>
      <c r="F58" s="15"/>
      <c r="G58" s="16"/>
      <c r="H58" s="16"/>
      <c r="I58" s="16"/>
      <c r="J58" s="16"/>
      <c r="K58" s="16"/>
      <c r="L58" s="16"/>
      <c r="M58" s="16"/>
      <c r="N58" s="16"/>
      <c r="O58" s="17"/>
      <c r="Z58" s="19"/>
    </row>
    <row r="59" spans="3:26" s="18" customFormat="1">
      <c r="C59" s="27"/>
      <c r="D59" s="14"/>
      <c r="E59" s="14"/>
      <c r="F59" s="15"/>
      <c r="G59" s="16"/>
      <c r="H59" s="16"/>
      <c r="I59" s="16"/>
      <c r="J59" s="16"/>
      <c r="K59" s="16"/>
      <c r="L59" s="16"/>
      <c r="M59" s="16"/>
      <c r="N59" s="16"/>
      <c r="O59" s="17"/>
      <c r="Z59" s="19"/>
    </row>
    <row r="60" spans="3:26" s="18" customFormat="1">
      <c r="C60" s="27"/>
      <c r="D60" s="14"/>
      <c r="E60" s="14"/>
      <c r="F60" s="15"/>
      <c r="G60" s="16"/>
      <c r="H60" s="16"/>
      <c r="I60" s="16"/>
      <c r="J60" s="16"/>
      <c r="K60" s="16"/>
      <c r="L60" s="16"/>
      <c r="M60" s="16"/>
      <c r="N60" s="16"/>
      <c r="O60" s="17"/>
      <c r="Z60" s="19"/>
    </row>
    <row r="61" spans="3:26" s="18" customFormat="1">
      <c r="C61" s="27"/>
      <c r="D61" s="14"/>
      <c r="E61" s="14"/>
      <c r="F61" s="15"/>
      <c r="G61" s="16"/>
      <c r="H61" s="16"/>
      <c r="I61" s="16"/>
      <c r="J61" s="16"/>
      <c r="K61" s="16"/>
      <c r="L61" s="16"/>
      <c r="M61" s="16"/>
      <c r="N61" s="16"/>
      <c r="O61" s="17"/>
      <c r="Z61" s="19"/>
    </row>
    <row r="62" spans="3:26" s="18" customFormat="1">
      <c r="C62" s="27"/>
      <c r="D62" s="14"/>
      <c r="E62" s="14"/>
      <c r="F62" s="15"/>
      <c r="G62" s="16"/>
      <c r="H62" s="16"/>
      <c r="I62" s="16"/>
      <c r="J62" s="16"/>
      <c r="K62" s="16"/>
      <c r="L62" s="16"/>
      <c r="M62" s="16"/>
      <c r="N62" s="16"/>
      <c r="O62" s="17"/>
      <c r="Z62" s="19"/>
    </row>
    <row r="63" spans="3:26" s="18" customFormat="1">
      <c r="C63" s="27"/>
      <c r="D63" s="14"/>
      <c r="E63" s="14"/>
      <c r="F63" s="15"/>
      <c r="G63" s="16"/>
      <c r="H63" s="16"/>
      <c r="I63" s="16"/>
      <c r="J63" s="16"/>
      <c r="K63" s="16"/>
      <c r="L63" s="16"/>
      <c r="M63" s="16"/>
      <c r="N63" s="16"/>
      <c r="O63" s="17"/>
      <c r="Z63" s="19"/>
    </row>
    <row r="64" spans="3:26" s="18" customFormat="1">
      <c r="C64" s="27"/>
      <c r="D64" s="14"/>
      <c r="E64" s="14"/>
      <c r="F64" s="15"/>
      <c r="G64" s="16"/>
      <c r="H64" s="16"/>
      <c r="I64" s="16"/>
      <c r="J64" s="16"/>
      <c r="K64" s="16"/>
      <c r="L64" s="16"/>
      <c r="M64" s="16"/>
      <c r="N64" s="16"/>
      <c r="O64" s="17"/>
      <c r="Z64" s="19"/>
    </row>
    <row r="65" spans="3:26" s="18" customFormat="1">
      <c r="C65" s="27"/>
      <c r="D65" s="14"/>
      <c r="E65" s="14"/>
      <c r="F65" s="15"/>
      <c r="G65" s="16"/>
      <c r="H65" s="16"/>
      <c r="I65" s="16"/>
      <c r="J65" s="16"/>
      <c r="K65" s="16"/>
      <c r="L65" s="16"/>
      <c r="M65" s="16"/>
      <c r="N65" s="16"/>
      <c r="O65" s="17"/>
      <c r="Z65" s="19"/>
    </row>
    <row r="66" spans="3:26" s="18" customFormat="1">
      <c r="C66" s="27"/>
      <c r="D66" s="14"/>
      <c r="E66" s="14"/>
      <c r="F66" s="15"/>
      <c r="G66" s="16"/>
      <c r="H66" s="16"/>
      <c r="I66" s="16"/>
      <c r="J66" s="16"/>
      <c r="K66" s="16"/>
      <c r="L66" s="16"/>
      <c r="M66" s="16"/>
      <c r="N66" s="16"/>
      <c r="O66" s="17"/>
      <c r="Z66" s="19"/>
    </row>
    <row r="67" spans="3:26" s="18" customFormat="1">
      <c r="C67" s="27"/>
      <c r="D67" s="14"/>
      <c r="E67" s="14"/>
      <c r="F67" s="15"/>
      <c r="G67" s="16"/>
      <c r="H67" s="16"/>
      <c r="I67" s="16"/>
      <c r="J67" s="16"/>
      <c r="K67" s="16"/>
      <c r="L67" s="16"/>
      <c r="M67" s="16"/>
      <c r="N67" s="16"/>
      <c r="O67" s="17"/>
      <c r="Z67" s="19"/>
    </row>
    <row r="68" spans="3:26" s="18" customFormat="1">
      <c r="C68" s="27"/>
      <c r="D68" s="14"/>
      <c r="E68" s="14"/>
      <c r="F68" s="15"/>
      <c r="G68" s="16"/>
      <c r="H68" s="16"/>
      <c r="I68" s="16"/>
      <c r="J68" s="16"/>
      <c r="K68" s="16"/>
      <c r="L68" s="16"/>
      <c r="M68" s="16"/>
      <c r="N68" s="16"/>
      <c r="O68" s="17"/>
      <c r="Z68" s="19"/>
    </row>
    <row r="69" spans="3:26" s="18" customFormat="1">
      <c r="C69" s="27"/>
      <c r="D69" s="14"/>
      <c r="E69" s="14"/>
      <c r="F69" s="15"/>
      <c r="G69" s="16"/>
      <c r="H69" s="16"/>
      <c r="I69" s="16"/>
      <c r="J69" s="16"/>
      <c r="K69" s="16"/>
      <c r="L69" s="16"/>
      <c r="M69" s="16"/>
      <c r="N69" s="16"/>
      <c r="O69" s="17"/>
      <c r="Z69" s="19"/>
    </row>
    <row r="70" spans="3:26" s="18" customFormat="1">
      <c r="C70" s="27"/>
      <c r="D70" s="14"/>
      <c r="E70" s="14"/>
      <c r="F70" s="15"/>
      <c r="G70" s="16"/>
      <c r="H70" s="16"/>
      <c r="I70" s="16"/>
      <c r="J70" s="16"/>
      <c r="K70" s="16"/>
      <c r="L70" s="16"/>
      <c r="M70" s="16"/>
      <c r="N70" s="16"/>
      <c r="O70" s="17"/>
      <c r="Z70" s="19"/>
    </row>
    <row r="71" spans="3:26" s="18" customFormat="1">
      <c r="C71" s="27"/>
      <c r="D71" s="14"/>
      <c r="E71" s="14"/>
      <c r="F71" s="15"/>
      <c r="G71" s="16"/>
      <c r="H71" s="16"/>
      <c r="I71" s="16"/>
      <c r="J71" s="16"/>
      <c r="K71" s="16"/>
      <c r="L71" s="16"/>
      <c r="M71" s="16"/>
      <c r="N71" s="16"/>
      <c r="O71" s="17"/>
      <c r="Z71" s="19"/>
    </row>
  </sheetData>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66"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1" t="s">
        <v>66</v>
      </c>
    </row>
    <row r="2" spans="3:27">
      <c r="F2" s="3"/>
    </row>
    <row r="3" spans="3:27" s="4" customFormat="1" ht="13.5" thickBot="1">
      <c r="C3" s="42"/>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c r="C4"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s="55"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96" customFormat="1">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Z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 t="shared" si="2"/>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s="84"/>
      <c r="D24" s="126" t="e">
        <f>VLOOKUP($C24,Score!$B$2:$X$71,2,0)</f>
        <v>#N/A</v>
      </c>
      <c r="E24" s="126" t="e">
        <f>VLOOKUP($C24,Score!$B$2:$X$71,2,0)</f>
        <v>#N/A</v>
      </c>
      <c r="F24" s="126" t="e">
        <f>VLOOKUP($C24,Score!$B$2:$X$71,2,0)</f>
        <v>#N/A</v>
      </c>
      <c r="G24" s="126" t="e">
        <f>VLOOKUP($C24,Score!$B$2:$X$71,2,0)</f>
        <v>#N/A</v>
      </c>
      <c r="H24" s="126" t="e">
        <f>VLOOKUP($C24,Score!$B$2:$X$71,2,0)</f>
        <v>#N/A</v>
      </c>
      <c r="I24" s="126" t="e">
        <f>VLOOKUP($C24,Score!$B$2:$X$71,2,0)</f>
        <v>#N/A</v>
      </c>
      <c r="J24" s="126" t="e">
        <f>VLOOKUP($C24,Score!$B$2:$X$71,2,0)</f>
        <v>#N/A</v>
      </c>
      <c r="K24" s="126" t="e">
        <f>VLOOKUP($C24,Score!$B$2:$X$71,2,0)</f>
        <v>#N/A</v>
      </c>
      <c r="L24" s="126" t="e">
        <f>VLOOKUP($C24,Score!$B$2:$X$71,2,0)</f>
        <v>#N/A</v>
      </c>
      <c r="M24" s="126" t="e">
        <f>VLOOKUP($C24,Score!$B$2:$X$71,2,0)</f>
        <v>#N/A</v>
      </c>
      <c r="N24" s="126" t="e">
        <f>VLOOKUP($C24,Score!$B$2:$X$71,2,0)</f>
        <v>#N/A</v>
      </c>
      <c r="O24" s="126" t="e">
        <f>VLOOKUP($C24,Score!$B$2:$X$71,2,0)</f>
        <v>#N/A</v>
      </c>
      <c r="P24" s="126" t="e">
        <f>VLOOKUP($C24,Score!$B$2:$X$71,2,0)</f>
        <v>#N/A</v>
      </c>
      <c r="Q24" s="126" t="e">
        <f>VLOOKUP($C24,Score!$B$2:$X$71,2,0)</f>
        <v>#N/A</v>
      </c>
      <c r="R24" s="126" t="e">
        <f>VLOOKUP($C24,Score!$B$2:$X$71,2,0)</f>
        <v>#N/A</v>
      </c>
      <c r="S24" s="126" t="e">
        <f>VLOOKUP($C24,Score!$B$2:$X$71,2,0)</f>
        <v>#N/A</v>
      </c>
      <c r="T24" s="126" t="e">
        <f>VLOOKUP($C24,Score!$B$2:$X$71,2,0)</f>
        <v>#N/A</v>
      </c>
      <c r="U24" s="126" t="e">
        <f>VLOOKUP($C24,Score!$B$2:$X$71,2,0)</f>
        <v>#N/A</v>
      </c>
      <c r="V24" s="126" t="e">
        <f>VLOOKUP($C24,Score!$B$2:$X$71,2,0)</f>
        <v>#N/A</v>
      </c>
      <c r="W24" s="126" t="e">
        <f>VLOOKUP($C24,Score!$B$2:$X$71,2,0)</f>
        <v>#N/A</v>
      </c>
      <c r="X24" s="126" t="e">
        <f>VLOOKUP($C24,Score!$B$2:$X$71,2,0)</f>
        <v>#N/A</v>
      </c>
      <c r="Y24" s="126" t="e">
        <f>VLOOKUP($C24,Score!$B$2:$X$71,2,0)</f>
        <v>#N/A</v>
      </c>
      <c r="Z24" s="126" t="e">
        <f>VLOOKUP($C24,Score!$B$2:$X$71,2,0)</f>
        <v>#N/A</v>
      </c>
    </row>
    <row r="25" spans="3:27" s="83" customFormat="1">
      <c r="C25" s="84"/>
      <c r="D25" s="126" t="e">
        <f>VLOOKUP($C25,Score!$B$2:$X$71,2,0)</f>
        <v>#N/A</v>
      </c>
      <c r="E25" s="126" t="e">
        <f>VLOOKUP($C25,Score!$B$2:$X$71,2,0)</f>
        <v>#N/A</v>
      </c>
      <c r="F25" s="126" t="e">
        <f>VLOOKUP($C25,Score!$B$2:$X$71,2,0)</f>
        <v>#N/A</v>
      </c>
      <c r="G25" s="126" t="e">
        <f>VLOOKUP($C25,Score!$B$2:$X$71,2,0)</f>
        <v>#N/A</v>
      </c>
      <c r="H25" s="126" t="e">
        <f>VLOOKUP($C25,Score!$B$2:$X$71,2,0)</f>
        <v>#N/A</v>
      </c>
      <c r="I25" s="126" t="e">
        <f>VLOOKUP($C25,Score!$B$2:$X$71,2,0)</f>
        <v>#N/A</v>
      </c>
      <c r="J25" s="126" t="e">
        <f>VLOOKUP($C25,Score!$B$2:$X$71,2,0)</f>
        <v>#N/A</v>
      </c>
      <c r="K25" s="126" t="e">
        <f>VLOOKUP($C25,Score!$B$2:$X$71,2,0)</f>
        <v>#N/A</v>
      </c>
      <c r="L25" s="126" t="e">
        <f>VLOOKUP($C25,Score!$B$2:$X$71,2,0)</f>
        <v>#N/A</v>
      </c>
      <c r="M25" s="126" t="e">
        <f>VLOOKUP($C25,Score!$B$2:$X$71,2,0)</f>
        <v>#N/A</v>
      </c>
      <c r="N25" s="126" t="e">
        <f>VLOOKUP($C25,Score!$B$2:$X$71,2,0)</f>
        <v>#N/A</v>
      </c>
      <c r="O25" s="126" t="e">
        <f>VLOOKUP($C25,Score!$B$2:$X$71,2,0)</f>
        <v>#N/A</v>
      </c>
      <c r="P25" s="126" t="e">
        <f>VLOOKUP($C25,Score!$B$2:$X$71,2,0)</f>
        <v>#N/A</v>
      </c>
      <c r="Q25" s="126" t="e">
        <f>VLOOKUP($C25,Score!$B$2:$X$71,2,0)</f>
        <v>#N/A</v>
      </c>
      <c r="R25" s="126" t="e">
        <f>VLOOKUP($C25,Score!$B$2:$X$71,2,0)</f>
        <v>#N/A</v>
      </c>
      <c r="S25" s="126" t="e">
        <f>VLOOKUP($C25,Score!$B$2:$X$71,2,0)</f>
        <v>#N/A</v>
      </c>
      <c r="T25" s="126" t="e">
        <f>VLOOKUP($C25,Score!$B$2:$X$71,2,0)</f>
        <v>#N/A</v>
      </c>
      <c r="U25" s="126" t="e">
        <f>VLOOKUP($C25,Score!$B$2:$X$71,2,0)</f>
        <v>#N/A</v>
      </c>
      <c r="V25" s="126" t="e">
        <f>VLOOKUP($C25,Score!$B$2:$X$71,2,0)</f>
        <v>#N/A</v>
      </c>
      <c r="W25" s="126" t="e">
        <f>VLOOKUP($C25,Score!$B$2:$X$71,2,0)</f>
        <v>#N/A</v>
      </c>
      <c r="X25" s="126" t="e">
        <f>VLOOKUP($C25,Score!$B$2:$X$71,2,0)</f>
        <v>#N/A</v>
      </c>
      <c r="Y25" s="126" t="e">
        <f>VLOOKUP($C25,Score!$B$2:$X$71,2,0)</f>
        <v>#N/A</v>
      </c>
      <c r="Z25" s="126" t="e">
        <f>VLOOKUP($C25,Score!$B$2:$X$71,2,0)</f>
        <v>#N/A</v>
      </c>
    </row>
    <row r="26" spans="3:27" s="83" customFormat="1">
      <c r="C26" s="114"/>
      <c r="D26" s="126" t="e">
        <f>VLOOKUP($C26,Score!$B$2:$X$71,2,0)</f>
        <v>#N/A</v>
      </c>
      <c r="E26" s="126" t="e">
        <f>VLOOKUP($C26,Score!$B$2:$X$71,2,0)</f>
        <v>#N/A</v>
      </c>
      <c r="F26" s="126" t="e">
        <f>VLOOKUP($C26,Score!$B$2:$X$71,2,0)</f>
        <v>#N/A</v>
      </c>
      <c r="G26" s="126" t="e">
        <f>VLOOKUP($C26,Score!$B$2:$X$71,2,0)</f>
        <v>#N/A</v>
      </c>
      <c r="H26" s="126" t="e">
        <f>VLOOKUP($C26,Score!$B$2:$X$71,2,0)</f>
        <v>#N/A</v>
      </c>
      <c r="I26" s="126" t="e">
        <f>VLOOKUP($C26,Score!$B$2:$X$71,2,0)</f>
        <v>#N/A</v>
      </c>
      <c r="J26" s="126" t="e">
        <f>VLOOKUP($C26,Score!$B$2:$X$71,2,0)</f>
        <v>#N/A</v>
      </c>
      <c r="K26" s="126" t="e">
        <f>VLOOKUP($C26,Score!$B$2:$X$71,2,0)</f>
        <v>#N/A</v>
      </c>
      <c r="L26" s="126" t="e">
        <f>VLOOKUP($C26,Score!$B$2:$X$71,2,0)</f>
        <v>#N/A</v>
      </c>
      <c r="M26" s="126" t="e">
        <f>VLOOKUP($C26,Score!$B$2:$X$71,2,0)</f>
        <v>#N/A</v>
      </c>
      <c r="N26" s="126" t="e">
        <f>VLOOKUP($C26,Score!$B$2:$X$71,2,0)</f>
        <v>#N/A</v>
      </c>
      <c r="O26" s="126" t="e">
        <f>VLOOKUP($C26,Score!$B$2:$X$71,2,0)</f>
        <v>#N/A</v>
      </c>
      <c r="P26" s="126" t="e">
        <f>VLOOKUP($C26,Score!$B$2:$X$71,2,0)</f>
        <v>#N/A</v>
      </c>
      <c r="Q26" s="126" t="e">
        <f>VLOOKUP($C26,Score!$B$2:$X$71,2,0)</f>
        <v>#N/A</v>
      </c>
      <c r="R26" s="126" t="e">
        <f>VLOOKUP($C26,Score!$B$2:$X$71,2,0)</f>
        <v>#N/A</v>
      </c>
      <c r="S26" s="126" t="e">
        <f>VLOOKUP($C26,Score!$B$2:$X$71,2,0)</f>
        <v>#N/A</v>
      </c>
      <c r="T26" s="126" t="e">
        <f>VLOOKUP($C26,Score!$B$2:$X$71,2,0)</f>
        <v>#N/A</v>
      </c>
      <c r="U26" s="126" t="e">
        <f>VLOOKUP($C26,Score!$B$2:$X$71,2,0)</f>
        <v>#N/A</v>
      </c>
      <c r="V26" s="126" t="e">
        <f>VLOOKUP($C26,Score!$B$2:$X$71,2,0)</f>
        <v>#N/A</v>
      </c>
      <c r="W26" s="126" t="e">
        <f>VLOOKUP($C26,Score!$B$2:$X$71,2,0)</f>
        <v>#N/A</v>
      </c>
      <c r="X26" s="126" t="e">
        <f>VLOOKUP($C26,Score!$B$2:$X$71,2,0)</f>
        <v>#N/A</v>
      </c>
      <c r="Y26" s="126" t="e">
        <f>VLOOKUP($C26,Score!$B$2:$X$71,2,0)</f>
        <v>#N/A</v>
      </c>
      <c r="Z26" s="126" t="e">
        <f>VLOOKUP($C26,Score!$B$2:$X$71,2,0)</f>
        <v>#N/A</v>
      </c>
    </row>
    <row r="27" spans="3:27" s="67" customFormat="1">
      <c r="C27" s="41"/>
      <c r="D27" s="56"/>
      <c r="E27" s="56"/>
      <c r="F27" s="57"/>
      <c r="G27" s="56"/>
      <c r="H27" s="56"/>
      <c r="I27" s="56"/>
      <c r="J27" s="56"/>
      <c r="K27" s="56"/>
      <c r="L27" s="56"/>
      <c r="M27" s="56"/>
      <c r="N27" s="56"/>
      <c r="Z27" s="60"/>
    </row>
    <row r="28" spans="3:27" s="67" customFormat="1">
      <c r="C28" s="75"/>
      <c r="D28" s="56"/>
      <c r="E28" s="56"/>
      <c r="F28" s="57"/>
      <c r="G28" s="56"/>
      <c r="H28" s="56"/>
      <c r="I28" s="56"/>
      <c r="J28" s="56"/>
      <c r="K28" s="56"/>
      <c r="L28" s="56"/>
      <c r="M28" s="56"/>
      <c r="N28" s="56"/>
      <c r="Z28" s="60"/>
    </row>
    <row r="29" spans="3:27" s="67" customFormat="1">
      <c r="C29" s="41"/>
      <c r="D29" s="56"/>
      <c r="E29" s="56"/>
      <c r="F29" s="57"/>
      <c r="G29" s="56"/>
      <c r="H29" s="56"/>
      <c r="I29" s="56"/>
      <c r="J29" s="56"/>
      <c r="K29" s="56"/>
      <c r="L29" s="56"/>
      <c r="M29" s="56"/>
      <c r="N29" s="56"/>
      <c r="Z29" s="60"/>
    </row>
    <row r="30" spans="3:27" s="67" customFormat="1">
      <c r="C30" s="41"/>
      <c r="D30" s="56"/>
      <c r="E30" s="56"/>
      <c r="F30" s="57"/>
      <c r="G30" s="56"/>
      <c r="H30" s="56"/>
      <c r="I30" s="56"/>
      <c r="J30" s="56"/>
      <c r="K30" s="56"/>
      <c r="L30" s="56"/>
      <c r="M30" s="56"/>
      <c r="N30" s="56"/>
      <c r="Z30" s="60"/>
    </row>
    <row r="31" spans="3:27" s="67" customFormat="1">
      <c r="C31" s="41"/>
      <c r="D31" s="56"/>
      <c r="E31" s="56"/>
      <c r="F31" s="57"/>
      <c r="G31" s="56"/>
      <c r="H31" s="56"/>
      <c r="I31" s="56"/>
      <c r="J31" s="56"/>
      <c r="K31" s="56"/>
      <c r="L31" s="56"/>
      <c r="M31" s="56"/>
      <c r="N31" s="56"/>
      <c r="Z31" s="60"/>
    </row>
    <row r="32" spans="3:27" s="18" customFormat="1">
      <c r="C32" s="23"/>
      <c r="D32" s="14"/>
      <c r="E32" s="14"/>
      <c r="F32" s="15"/>
      <c r="G32" s="16"/>
      <c r="H32" s="16"/>
      <c r="I32" s="16"/>
      <c r="J32" s="16"/>
      <c r="K32" s="16"/>
      <c r="L32" s="16"/>
      <c r="M32" s="16"/>
      <c r="N32" s="16"/>
      <c r="O32" s="17"/>
      <c r="Z32" s="19"/>
    </row>
    <row r="33" spans="3:26" s="18" customFormat="1">
      <c r="C33" s="23"/>
      <c r="D33" s="14"/>
      <c r="E33" s="14"/>
      <c r="F33" s="15"/>
      <c r="G33" s="16"/>
      <c r="H33" s="16"/>
      <c r="I33" s="16"/>
      <c r="J33" s="16"/>
      <c r="K33" s="16"/>
      <c r="L33" s="16"/>
      <c r="M33" s="16"/>
      <c r="N33" s="16"/>
      <c r="O33" s="17"/>
      <c r="Z33" s="19"/>
    </row>
    <row r="34" spans="3:26" s="18" customFormat="1">
      <c r="C34" s="23"/>
      <c r="D34" s="14"/>
      <c r="E34" s="14"/>
      <c r="F34" s="15"/>
      <c r="G34" s="16"/>
      <c r="H34" s="16"/>
      <c r="I34" s="16"/>
      <c r="J34" s="16"/>
      <c r="K34" s="16"/>
      <c r="L34" s="16"/>
      <c r="M34" s="16"/>
      <c r="N34" s="16"/>
      <c r="O34" s="17"/>
      <c r="Z34" s="19"/>
    </row>
    <row r="35" spans="3:26" s="18" customFormat="1">
      <c r="C35" s="23"/>
      <c r="D35" s="14"/>
      <c r="E35" s="14"/>
      <c r="F35" s="15"/>
      <c r="G35" s="16"/>
      <c r="H35" s="16"/>
      <c r="I35" s="16"/>
      <c r="J35" s="16"/>
      <c r="K35" s="16"/>
      <c r="L35" s="16"/>
      <c r="M35" s="16"/>
      <c r="N35" s="16"/>
      <c r="O35" s="17"/>
      <c r="Z35" s="19"/>
    </row>
    <row r="36" spans="3:26" s="18" customFormat="1">
      <c r="C36" s="23"/>
      <c r="D36" s="14"/>
      <c r="E36" s="14"/>
      <c r="F36" s="15"/>
      <c r="G36" s="16"/>
      <c r="H36" s="16"/>
      <c r="I36" s="16"/>
      <c r="J36" s="16"/>
      <c r="K36" s="16"/>
      <c r="L36" s="16"/>
      <c r="M36" s="16"/>
      <c r="N36" s="16"/>
      <c r="O36" s="17"/>
      <c r="Z36" s="19"/>
    </row>
    <row r="37" spans="3:26" s="18" customFormat="1">
      <c r="C37" s="23"/>
      <c r="D37" s="14"/>
      <c r="E37" s="14"/>
      <c r="F37" s="15"/>
      <c r="G37" s="16"/>
      <c r="H37" s="16"/>
      <c r="I37" s="16"/>
      <c r="J37" s="16"/>
      <c r="K37" s="16"/>
      <c r="L37" s="16"/>
      <c r="M37" s="16"/>
      <c r="N37" s="16"/>
      <c r="O37" s="17"/>
      <c r="Z37" s="19"/>
    </row>
    <row r="38" spans="3:26" s="18" customFormat="1">
      <c r="C38" s="23"/>
      <c r="D38" s="14"/>
      <c r="E38" s="14"/>
      <c r="F38" s="15"/>
      <c r="G38" s="16"/>
      <c r="H38" s="16"/>
      <c r="I38" s="16"/>
      <c r="J38" s="16"/>
      <c r="K38" s="16"/>
      <c r="L38" s="16"/>
      <c r="M38" s="16"/>
      <c r="N38" s="16"/>
      <c r="O38" s="17"/>
      <c r="Z38" s="19"/>
    </row>
    <row r="39" spans="3:26" s="18" customFormat="1">
      <c r="C39" s="23"/>
      <c r="D39" s="14"/>
      <c r="E39" s="14"/>
      <c r="F39" s="15"/>
      <c r="G39" s="16"/>
      <c r="H39" s="16"/>
      <c r="I39" s="16"/>
      <c r="J39" s="16"/>
      <c r="K39" s="16"/>
      <c r="L39" s="16"/>
      <c r="M39" s="16"/>
      <c r="N39" s="16"/>
      <c r="O39" s="17"/>
      <c r="Z39" s="19"/>
    </row>
    <row r="40" spans="3:26" s="18" customFormat="1">
      <c r="C40" s="23"/>
      <c r="D40" s="14"/>
      <c r="E40" s="14"/>
      <c r="F40" s="15"/>
      <c r="G40" s="16"/>
      <c r="H40" s="16"/>
      <c r="I40" s="16"/>
      <c r="J40" s="16"/>
      <c r="K40" s="16"/>
      <c r="L40" s="16"/>
      <c r="M40" s="16"/>
      <c r="N40" s="16"/>
      <c r="O40" s="17"/>
      <c r="Z40" s="19"/>
    </row>
    <row r="41" spans="3:26" s="18" customFormat="1">
      <c r="C41" s="68"/>
      <c r="D41" s="14"/>
      <c r="E41" s="14"/>
      <c r="F41" s="15"/>
      <c r="G41" s="16"/>
      <c r="H41" s="16"/>
      <c r="I41" s="16"/>
      <c r="J41" s="16"/>
      <c r="K41" s="16"/>
      <c r="L41" s="16"/>
      <c r="M41" s="16"/>
      <c r="N41" s="16"/>
      <c r="O41" s="17"/>
      <c r="Z41" s="19"/>
    </row>
    <row r="42" spans="3:26" s="18" customFormat="1">
      <c r="C42" s="68"/>
      <c r="D42" s="14"/>
      <c r="E42" s="14"/>
      <c r="F42" s="15"/>
      <c r="G42" s="16"/>
      <c r="H42" s="16"/>
      <c r="I42" s="16"/>
      <c r="J42" s="16"/>
      <c r="K42" s="16"/>
      <c r="L42" s="16"/>
      <c r="M42" s="16"/>
      <c r="N42" s="16"/>
      <c r="O42" s="17"/>
      <c r="Z42" s="19"/>
    </row>
    <row r="43" spans="3:26" s="18" customFormat="1">
      <c r="C43" s="68"/>
      <c r="D43" s="14"/>
      <c r="E43" s="14"/>
      <c r="F43" s="15"/>
      <c r="G43" s="16"/>
      <c r="H43" s="16"/>
      <c r="I43" s="16"/>
      <c r="J43" s="16"/>
      <c r="K43" s="16"/>
      <c r="L43" s="16"/>
      <c r="M43" s="16"/>
      <c r="N43" s="16"/>
      <c r="O43" s="17"/>
      <c r="Z43" s="19"/>
    </row>
    <row r="44" spans="3:26" s="18" customFormat="1">
      <c r="C44" s="68"/>
      <c r="D44" s="14"/>
      <c r="E44" s="14"/>
      <c r="F44" s="15"/>
      <c r="G44" s="16"/>
      <c r="H44" s="16"/>
      <c r="I44" s="16"/>
      <c r="J44" s="16"/>
      <c r="K44" s="16"/>
      <c r="L44" s="16"/>
      <c r="M44" s="16"/>
      <c r="N44" s="16"/>
      <c r="O44" s="17"/>
      <c r="Z44" s="19"/>
    </row>
    <row r="45" spans="3:26" s="18" customFormat="1">
      <c r="C45" s="68"/>
      <c r="D45" s="14"/>
      <c r="E45" s="14"/>
      <c r="F45" s="15"/>
      <c r="G45" s="16"/>
      <c r="H45" s="16"/>
      <c r="I45" s="16"/>
      <c r="J45" s="16"/>
      <c r="K45" s="16"/>
      <c r="L45" s="16"/>
      <c r="M45" s="16"/>
      <c r="N45" s="16"/>
      <c r="O45" s="17"/>
      <c r="Z45" s="19"/>
    </row>
    <row r="46" spans="3:26" s="18" customFormat="1">
      <c r="C46" s="68"/>
      <c r="D46" s="14"/>
      <c r="E46" s="14"/>
      <c r="F46" s="15"/>
      <c r="G46" s="16"/>
      <c r="H46" s="16"/>
      <c r="I46" s="16"/>
      <c r="J46" s="16"/>
      <c r="K46" s="16"/>
      <c r="L46" s="16"/>
      <c r="M46" s="16"/>
      <c r="N46" s="16"/>
      <c r="O46" s="17"/>
      <c r="Z46" s="19"/>
    </row>
    <row r="47" spans="3:26" s="18" customFormat="1">
      <c r="C47" s="68"/>
      <c r="D47" s="14"/>
      <c r="E47" s="14"/>
      <c r="F47" s="15"/>
      <c r="G47" s="16"/>
      <c r="H47" s="16"/>
      <c r="I47" s="16"/>
      <c r="J47" s="16"/>
      <c r="K47" s="16"/>
      <c r="L47" s="16"/>
      <c r="M47" s="16"/>
      <c r="N47" s="16"/>
      <c r="O47" s="17"/>
      <c r="Z47" s="19"/>
    </row>
    <row r="48" spans="3:26" s="18" customFormat="1">
      <c r="C48" s="68"/>
      <c r="D48" s="14"/>
      <c r="E48" s="14"/>
      <c r="F48" s="15"/>
      <c r="G48" s="16"/>
      <c r="H48" s="16"/>
      <c r="I48" s="16"/>
      <c r="J48" s="16"/>
      <c r="K48" s="16"/>
      <c r="L48" s="16"/>
      <c r="M48" s="16"/>
      <c r="N48" s="16"/>
      <c r="O48" s="17"/>
      <c r="Z48" s="19"/>
    </row>
    <row r="49" spans="3:26" s="18" customFormat="1">
      <c r="C49" s="68"/>
      <c r="D49" s="14"/>
      <c r="E49" s="14"/>
      <c r="F49" s="15"/>
      <c r="G49" s="16"/>
      <c r="H49" s="16"/>
      <c r="I49" s="16"/>
      <c r="J49" s="16"/>
      <c r="K49" s="16"/>
      <c r="L49" s="16"/>
      <c r="M49" s="16"/>
      <c r="N49" s="16"/>
      <c r="O49" s="17"/>
      <c r="Z49" s="19"/>
    </row>
    <row r="50" spans="3:26" s="18" customFormat="1">
      <c r="C50" s="68"/>
      <c r="D50" s="14"/>
      <c r="E50" s="14"/>
      <c r="F50" s="15"/>
      <c r="G50" s="16"/>
      <c r="H50" s="16"/>
      <c r="I50" s="16"/>
      <c r="J50" s="16"/>
      <c r="K50" s="16"/>
      <c r="L50" s="16"/>
      <c r="M50" s="16"/>
      <c r="N50" s="16"/>
      <c r="O50" s="17"/>
      <c r="Z50" s="19"/>
    </row>
    <row r="51" spans="3:26" s="18" customFormat="1">
      <c r="C51" s="68"/>
      <c r="D51" s="14"/>
      <c r="E51" s="14"/>
      <c r="F51" s="15"/>
      <c r="G51" s="16"/>
      <c r="H51" s="16"/>
      <c r="I51" s="16"/>
      <c r="J51" s="16"/>
      <c r="K51" s="16"/>
      <c r="L51" s="16"/>
      <c r="M51" s="16"/>
      <c r="N51" s="16"/>
      <c r="O51" s="17"/>
      <c r="Z51" s="19"/>
    </row>
    <row r="52" spans="3:26" s="18" customFormat="1">
      <c r="C52" s="68"/>
      <c r="D52" s="14"/>
      <c r="E52" s="14"/>
      <c r="F52" s="15"/>
      <c r="G52" s="16"/>
      <c r="H52" s="16"/>
      <c r="I52" s="16"/>
      <c r="J52" s="16"/>
      <c r="K52" s="16"/>
      <c r="L52" s="16"/>
      <c r="M52" s="16"/>
      <c r="N52" s="16"/>
      <c r="O52" s="17"/>
      <c r="Z52" s="19"/>
    </row>
    <row r="53" spans="3:26" s="18" customFormat="1">
      <c r="C53" s="68"/>
      <c r="D53" s="14"/>
      <c r="E53" s="14"/>
      <c r="F53" s="15"/>
      <c r="G53" s="16"/>
      <c r="H53" s="16"/>
      <c r="I53" s="16"/>
      <c r="J53" s="16"/>
      <c r="K53" s="16"/>
      <c r="L53" s="16"/>
      <c r="M53" s="16"/>
      <c r="N53" s="16"/>
      <c r="O53" s="17"/>
      <c r="Z53" s="19"/>
    </row>
    <row r="54" spans="3:26" s="18" customFormat="1">
      <c r="C54" s="68"/>
      <c r="D54" s="14"/>
      <c r="E54" s="14"/>
      <c r="F54" s="15"/>
      <c r="G54" s="16"/>
      <c r="H54" s="16"/>
      <c r="I54" s="16"/>
      <c r="J54" s="16"/>
      <c r="K54" s="16"/>
      <c r="L54" s="16"/>
      <c r="M54" s="16"/>
      <c r="N54" s="16"/>
      <c r="O54" s="17"/>
      <c r="Z54" s="19"/>
    </row>
    <row r="55" spans="3:26" s="18" customFormat="1">
      <c r="C55" s="68"/>
      <c r="D55" s="14"/>
      <c r="E55" s="14"/>
      <c r="F55" s="15"/>
      <c r="G55" s="16"/>
      <c r="H55" s="16"/>
      <c r="I55" s="16"/>
      <c r="J55" s="16"/>
      <c r="K55" s="16"/>
      <c r="L55" s="16"/>
      <c r="M55" s="16"/>
      <c r="N55" s="16"/>
      <c r="O55" s="17"/>
      <c r="Z55" s="19"/>
    </row>
    <row r="56" spans="3:26" s="18" customFormat="1">
      <c r="C56" s="68"/>
      <c r="D56" s="14"/>
      <c r="E56" s="14"/>
      <c r="F56" s="15"/>
      <c r="G56" s="16"/>
      <c r="H56" s="16"/>
      <c r="I56" s="16"/>
      <c r="J56" s="16"/>
      <c r="K56" s="16"/>
      <c r="L56" s="16"/>
      <c r="M56" s="16"/>
      <c r="N56" s="16"/>
      <c r="O56" s="17"/>
      <c r="Z56" s="19"/>
    </row>
    <row r="57" spans="3:26" s="18" customFormat="1">
      <c r="C57" s="68"/>
      <c r="D57" s="14"/>
      <c r="E57" s="14"/>
      <c r="F57" s="15"/>
      <c r="G57" s="16"/>
      <c r="H57" s="16"/>
      <c r="I57" s="16"/>
      <c r="J57" s="16"/>
      <c r="K57" s="16"/>
      <c r="L57" s="16"/>
      <c r="M57" s="16"/>
      <c r="N57" s="16"/>
      <c r="O57" s="17"/>
      <c r="Z57" s="19"/>
    </row>
    <row r="58" spans="3:26" s="18" customFormat="1">
      <c r="C58" s="68"/>
      <c r="D58" s="14"/>
      <c r="E58" s="14"/>
      <c r="F58" s="15"/>
      <c r="G58" s="16"/>
      <c r="H58" s="16"/>
      <c r="I58" s="16"/>
      <c r="J58" s="16"/>
      <c r="K58" s="16"/>
      <c r="L58" s="16"/>
      <c r="M58" s="16"/>
      <c r="N58" s="16"/>
      <c r="O58" s="17"/>
      <c r="Z58" s="19"/>
    </row>
    <row r="59" spans="3:26" s="18" customFormat="1">
      <c r="C59" s="68"/>
      <c r="D59" s="14"/>
      <c r="E59" s="14"/>
      <c r="F59" s="15"/>
      <c r="G59" s="16"/>
      <c r="H59" s="16"/>
      <c r="I59" s="16"/>
      <c r="J59" s="16"/>
      <c r="K59" s="16"/>
      <c r="L59" s="16"/>
      <c r="M59" s="16"/>
      <c r="N59" s="16"/>
      <c r="O59" s="17"/>
      <c r="Z59" s="19"/>
    </row>
    <row r="60" spans="3:26" s="18" customFormat="1">
      <c r="C60" s="68"/>
      <c r="D60" s="14"/>
      <c r="E60" s="14"/>
      <c r="F60" s="15"/>
      <c r="G60" s="16"/>
      <c r="H60" s="16"/>
      <c r="I60" s="16"/>
      <c r="J60" s="16"/>
      <c r="K60" s="16"/>
      <c r="L60" s="16"/>
      <c r="M60" s="16"/>
      <c r="N60" s="16"/>
      <c r="O60" s="17"/>
      <c r="Z60" s="19"/>
    </row>
    <row r="61" spans="3:26" s="18" customFormat="1">
      <c r="C61" s="68"/>
      <c r="D61" s="14"/>
      <c r="E61" s="14"/>
      <c r="F61" s="15"/>
      <c r="G61" s="16"/>
      <c r="H61" s="16"/>
      <c r="I61" s="16"/>
      <c r="J61" s="16"/>
      <c r="K61" s="16"/>
      <c r="L61" s="16"/>
      <c r="M61" s="16"/>
      <c r="N61" s="16"/>
      <c r="O61" s="17"/>
      <c r="Z61" s="19"/>
    </row>
    <row r="62" spans="3:26" s="18" customFormat="1">
      <c r="C62" s="68"/>
      <c r="D62" s="14"/>
      <c r="E62" s="14"/>
      <c r="F62" s="15"/>
      <c r="G62" s="16"/>
      <c r="H62" s="16"/>
      <c r="I62" s="16"/>
      <c r="J62" s="16"/>
      <c r="K62" s="16"/>
      <c r="L62" s="16"/>
      <c r="M62" s="16"/>
      <c r="N62" s="16"/>
      <c r="O62" s="17"/>
      <c r="Z62" s="19"/>
    </row>
    <row r="63" spans="3:26" s="18" customFormat="1">
      <c r="C63" s="68"/>
      <c r="D63" s="14"/>
      <c r="E63" s="14"/>
      <c r="F63" s="15"/>
      <c r="G63" s="16"/>
      <c r="H63" s="16"/>
      <c r="I63" s="16"/>
      <c r="J63" s="16"/>
      <c r="K63" s="16"/>
      <c r="L63" s="16"/>
      <c r="M63" s="16"/>
      <c r="N63" s="16"/>
      <c r="O63" s="17"/>
      <c r="Z63" s="19"/>
    </row>
    <row r="64" spans="3:26" s="18" customFormat="1">
      <c r="C64" s="68"/>
      <c r="D64" s="14"/>
      <c r="E64" s="14"/>
      <c r="F64" s="15"/>
      <c r="G64" s="16"/>
      <c r="H64" s="16"/>
      <c r="I64" s="16"/>
      <c r="J64" s="16"/>
      <c r="K64" s="16"/>
      <c r="L64" s="16"/>
      <c r="M64" s="16"/>
      <c r="N64" s="16"/>
      <c r="O64" s="17"/>
      <c r="Z64" s="19"/>
    </row>
    <row r="65" spans="3:26" s="18" customFormat="1">
      <c r="C65" s="68"/>
      <c r="D65" s="14"/>
      <c r="E65" s="14"/>
      <c r="F65" s="15"/>
      <c r="G65" s="16"/>
      <c r="H65" s="16"/>
      <c r="I65" s="16"/>
      <c r="J65" s="16"/>
      <c r="K65" s="16"/>
      <c r="L65" s="16"/>
      <c r="M65" s="16"/>
      <c r="N65" s="16"/>
      <c r="O65" s="17"/>
      <c r="Z65" s="19"/>
    </row>
    <row r="66" spans="3:26" s="18" customFormat="1">
      <c r="C66" s="68"/>
      <c r="D66" s="14"/>
      <c r="E66" s="14"/>
      <c r="F66" s="15"/>
      <c r="G66" s="16"/>
      <c r="H66" s="16"/>
      <c r="I66" s="16"/>
      <c r="J66" s="16"/>
      <c r="K66" s="16"/>
      <c r="L66" s="16"/>
      <c r="M66" s="16"/>
      <c r="N66" s="16"/>
      <c r="O66" s="17"/>
      <c r="Z66" s="19"/>
    </row>
    <row r="67" spans="3:26" s="18" customFormat="1">
      <c r="C67" s="68"/>
      <c r="D67" s="14"/>
      <c r="E67" s="14"/>
      <c r="F67" s="15"/>
      <c r="G67" s="16"/>
      <c r="H67" s="16"/>
      <c r="I67" s="16"/>
      <c r="J67" s="16"/>
      <c r="K67" s="16"/>
      <c r="L67" s="16"/>
      <c r="M67" s="16"/>
      <c r="N67" s="16"/>
      <c r="O67" s="17"/>
      <c r="Z67" s="19"/>
    </row>
    <row r="68" spans="3:26" s="18" customFormat="1">
      <c r="C68" s="68"/>
      <c r="D68" s="14"/>
      <c r="E68" s="14"/>
      <c r="F68" s="15"/>
      <c r="G68" s="16"/>
      <c r="H68" s="16"/>
      <c r="I68" s="16"/>
      <c r="J68" s="16"/>
      <c r="K68" s="16"/>
      <c r="L68" s="16"/>
      <c r="M68" s="16"/>
      <c r="N68" s="16"/>
      <c r="O68" s="17"/>
      <c r="Z68" s="19"/>
    </row>
    <row r="69" spans="3:26" s="18" customFormat="1">
      <c r="C69" s="68"/>
      <c r="D69" s="14"/>
      <c r="E69" s="14"/>
      <c r="F69" s="15"/>
      <c r="G69" s="16"/>
      <c r="H69" s="16"/>
      <c r="I69" s="16"/>
      <c r="J69" s="16"/>
      <c r="K69" s="16"/>
      <c r="L69" s="16"/>
      <c r="M69" s="16"/>
      <c r="N69" s="16"/>
      <c r="O69" s="17"/>
      <c r="Z69" s="19"/>
    </row>
    <row r="70" spans="3:26" s="18" customFormat="1">
      <c r="C70" s="68"/>
      <c r="D70" s="14"/>
      <c r="E70" s="14"/>
      <c r="F70" s="15"/>
      <c r="G70" s="16"/>
      <c r="H70" s="16"/>
      <c r="I70" s="16"/>
      <c r="J70" s="16"/>
      <c r="K70" s="16"/>
      <c r="L70" s="16"/>
      <c r="M70" s="16"/>
      <c r="N70" s="16"/>
      <c r="O70" s="17"/>
      <c r="Z70" s="19"/>
    </row>
    <row r="71" spans="3:26" s="18" customFormat="1">
      <c r="C71" s="68"/>
      <c r="D71" s="14"/>
      <c r="E71" s="14"/>
      <c r="F71" s="15"/>
      <c r="G71" s="16"/>
      <c r="H71" s="16"/>
      <c r="I71" s="16"/>
      <c r="J71" s="16"/>
      <c r="K71" s="16"/>
      <c r="L71" s="16"/>
      <c r="M71" s="16"/>
      <c r="N71" s="16"/>
      <c r="O71" s="17"/>
      <c r="Z71" s="19"/>
    </row>
  </sheetData>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66"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25" t="s">
        <v>66</v>
      </c>
    </row>
    <row r="2" spans="3:27">
      <c r="C2" s="1"/>
      <c r="F2" s="3"/>
    </row>
    <row r="3" spans="3:27" s="4" customFormat="1" ht="13.5" thickBot="1">
      <c r="C3" s="42"/>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c r="C4"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96" customFormat="1">
      <c r="C21" s="96" t="s">
        <v>21</v>
      </c>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Z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 t="shared" si="2"/>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c r="D24" s="82" t="e">
        <f>VLOOKUP($C24,Score!$B$2:$X$71,2,0)</f>
        <v>#N/A</v>
      </c>
      <c r="E24" s="82" t="e">
        <f>VLOOKUP($C24,Score!$B$2:$X$71,2,0)</f>
        <v>#N/A</v>
      </c>
      <c r="F24" s="82" t="e">
        <f>VLOOKUP($C24,Score!$B$2:$X$71,2,0)</f>
        <v>#N/A</v>
      </c>
      <c r="G24" s="82" t="e">
        <f>VLOOKUP($C24,Score!$B$2:$X$71,2,0)</f>
        <v>#N/A</v>
      </c>
      <c r="H24" s="82" t="e">
        <f>VLOOKUP($C24,Score!$B$2:$X$71,2,0)</f>
        <v>#N/A</v>
      </c>
      <c r="I24" s="82" t="e">
        <f>VLOOKUP($C24,Score!$B$2:$X$71,2,0)</f>
        <v>#N/A</v>
      </c>
      <c r="J24" s="82" t="e">
        <f>VLOOKUP($C24,Score!$B$2:$X$71,2,0)</f>
        <v>#N/A</v>
      </c>
      <c r="K24" s="82" t="e">
        <f>VLOOKUP($C24,Score!$B$2:$X$71,2,0)</f>
        <v>#N/A</v>
      </c>
      <c r="L24" s="82" t="e">
        <f>VLOOKUP($C24,Score!$B$2:$X$71,2,0)</f>
        <v>#N/A</v>
      </c>
      <c r="M24" s="82" t="e">
        <f>VLOOKUP($C24,Score!$B$2:$X$71,2,0)</f>
        <v>#N/A</v>
      </c>
      <c r="N24" s="82" t="e">
        <f>VLOOKUP($C24,Score!$B$2:$X$71,2,0)</f>
        <v>#N/A</v>
      </c>
      <c r="O24" s="82" t="e">
        <f>VLOOKUP($C24,Score!$B$2:$X$71,2,0)</f>
        <v>#N/A</v>
      </c>
      <c r="P24" s="82" t="e">
        <f>VLOOKUP($C24,Score!$B$2:$X$71,2,0)</f>
        <v>#N/A</v>
      </c>
      <c r="Q24" s="82" t="e">
        <f>VLOOKUP($C24,Score!$B$2:$X$71,2,0)</f>
        <v>#N/A</v>
      </c>
      <c r="R24" s="82" t="e">
        <f>VLOOKUP($C24,Score!$B$2:$X$71,2,0)</f>
        <v>#N/A</v>
      </c>
      <c r="S24" s="82" t="e">
        <f>VLOOKUP($C24,Score!$B$2:$X$71,2,0)</f>
        <v>#N/A</v>
      </c>
      <c r="T24" s="82" t="e">
        <f>VLOOKUP($C24,Score!$B$2:$X$71,2,0)</f>
        <v>#N/A</v>
      </c>
      <c r="U24" s="82" t="e">
        <f>VLOOKUP($C24,Score!$B$2:$X$71,2,0)</f>
        <v>#N/A</v>
      </c>
      <c r="V24" s="82" t="e">
        <f>VLOOKUP($C24,Score!$B$2:$X$71,2,0)</f>
        <v>#N/A</v>
      </c>
      <c r="W24" s="82" t="e">
        <f>VLOOKUP($C24,Score!$B$2:$X$71,2,0)</f>
        <v>#N/A</v>
      </c>
      <c r="X24" s="82" t="e">
        <f>VLOOKUP($C24,Score!$B$2:$X$71,2,0)</f>
        <v>#N/A</v>
      </c>
      <c r="Y24" s="82" t="e">
        <f>VLOOKUP($C24,Score!$B$2:$X$71,2,0)</f>
        <v>#N/A</v>
      </c>
      <c r="Z24" s="82" t="e">
        <f>VLOOKUP($C24,Score!$B$2:$X$71,2,0)</f>
        <v>#N/A</v>
      </c>
    </row>
    <row r="25" spans="3:27" s="83" customFormat="1">
      <c r="C25"/>
      <c r="D25" s="82" t="e">
        <f>VLOOKUP($C25,Score!$B$2:$X$71,2,0)</f>
        <v>#N/A</v>
      </c>
      <c r="E25" s="82" t="e">
        <f>VLOOKUP($C25,Score!$B$2:$X$71,2,0)</f>
        <v>#N/A</v>
      </c>
      <c r="F25" s="82" t="e">
        <f>VLOOKUP($C25,Score!$B$2:$X$71,2,0)</f>
        <v>#N/A</v>
      </c>
      <c r="G25" s="82" t="e">
        <f>VLOOKUP($C25,Score!$B$2:$X$71,2,0)</f>
        <v>#N/A</v>
      </c>
      <c r="H25" s="82" t="e">
        <f>VLOOKUP($C25,Score!$B$2:$X$71,2,0)</f>
        <v>#N/A</v>
      </c>
      <c r="I25" s="82" t="e">
        <f>VLOOKUP($C25,Score!$B$2:$X$71,2,0)</f>
        <v>#N/A</v>
      </c>
      <c r="J25" s="82" t="e">
        <f>VLOOKUP($C25,Score!$B$2:$X$71,2,0)</f>
        <v>#N/A</v>
      </c>
      <c r="K25" s="82" t="e">
        <f>VLOOKUP($C25,Score!$B$2:$X$71,2,0)</f>
        <v>#N/A</v>
      </c>
      <c r="L25" s="82" t="e">
        <f>VLOOKUP($C25,Score!$B$2:$X$71,2,0)</f>
        <v>#N/A</v>
      </c>
      <c r="M25" s="82" t="e">
        <f>VLOOKUP($C25,Score!$B$2:$X$71,2,0)</f>
        <v>#N/A</v>
      </c>
      <c r="N25" s="82" t="e">
        <f>VLOOKUP($C25,Score!$B$2:$X$71,2,0)</f>
        <v>#N/A</v>
      </c>
      <c r="O25" s="82" t="e">
        <f>VLOOKUP($C25,Score!$B$2:$X$71,2,0)</f>
        <v>#N/A</v>
      </c>
      <c r="P25" s="82" t="e">
        <f>VLOOKUP($C25,Score!$B$2:$X$71,2,0)</f>
        <v>#N/A</v>
      </c>
      <c r="Q25" s="82" t="e">
        <f>VLOOKUP($C25,Score!$B$2:$X$71,2,0)</f>
        <v>#N/A</v>
      </c>
      <c r="R25" s="82" t="e">
        <f>VLOOKUP($C25,Score!$B$2:$X$71,2,0)</f>
        <v>#N/A</v>
      </c>
      <c r="S25" s="82" t="e">
        <f>VLOOKUP($C25,Score!$B$2:$X$71,2,0)</f>
        <v>#N/A</v>
      </c>
      <c r="T25" s="82" t="e">
        <f>VLOOKUP($C25,Score!$B$2:$X$71,2,0)</f>
        <v>#N/A</v>
      </c>
      <c r="U25" s="82" t="e">
        <f>VLOOKUP($C25,Score!$B$2:$X$71,2,0)</f>
        <v>#N/A</v>
      </c>
      <c r="V25" s="82" t="e">
        <f>VLOOKUP($C25,Score!$B$2:$X$71,2,0)</f>
        <v>#N/A</v>
      </c>
      <c r="W25" s="82" t="e">
        <f>VLOOKUP($C25,Score!$B$2:$X$71,2,0)</f>
        <v>#N/A</v>
      </c>
      <c r="X25" s="82" t="e">
        <f>VLOOKUP($C25,Score!$B$2:$X$71,2,0)</f>
        <v>#N/A</v>
      </c>
      <c r="Y25" s="82" t="e">
        <f>VLOOKUP($C25,Score!$B$2:$X$71,2,0)</f>
        <v>#N/A</v>
      </c>
      <c r="Z25" s="82" t="e">
        <f>VLOOKUP($C25,Score!$B$2:$X$71,2,0)</f>
        <v>#N/A</v>
      </c>
    </row>
    <row r="26" spans="3:27" s="83" customFormat="1">
      <c r="C26"/>
      <c r="D26" s="82" t="e">
        <f>VLOOKUP($C26,Score!$B$2:$X$71,2,0)</f>
        <v>#N/A</v>
      </c>
      <c r="E26" s="82" t="e">
        <f>VLOOKUP($C26,Score!$B$2:$X$71,2,0)</f>
        <v>#N/A</v>
      </c>
      <c r="F26" s="82" t="e">
        <f>VLOOKUP($C26,Score!$B$2:$X$71,2,0)</f>
        <v>#N/A</v>
      </c>
      <c r="G26" s="82" t="e">
        <f>VLOOKUP($C26,Score!$B$2:$X$71,2,0)</f>
        <v>#N/A</v>
      </c>
      <c r="H26" s="82" t="e">
        <f>VLOOKUP($C26,Score!$B$2:$X$71,2,0)</f>
        <v>#N/A</v>
      </c>
      <c r="I26" s="82" t="e">
        <f>VLOOKUP($C26,Score!$B$2:$X$71,2,0)</f>
        <v>#N/A</v>
      </c>
      <c r="J26" s="82" t="e">
        <f>VLOOKUP($C26,Score!$B$2:$X$71,2,0)</f>
        <v>#N/A</v>
      </c>
      <c r="K26" s="82" t="e">
        <f>VLOOKUP($C26,Score!$B$2:$X$71,2,0)</f>
        <v>#N/A</v>
      </c>
      <c r="L26" s="82" t="e">
        <f>VLOOKUP($C26,Score!$B$2:$X$71,2,0)</f>
        <v>#N/A</v>
      </c>
      <c r="M26" s="82" t="e">
        <f>VLOOKUP($C26,Score!$B$2:$X$71,2,0)</f>
        <v>#N/A</v>
      </c>
      <c r="N26" s="82" t="e">
        <f>VLOOKUP($C26,Score!$B$2:$X$71,2,0)</f>
        <v>#N/A</v>
      </c>
      <c r="O26" s="82" t="e">
        <f>VLOOKUP($C26,Score!$B$2:$X$71,2,0)</f>
        <v>#N/A</v>
      </c>
      <c r="P26" s="82" t="e">
        <f>VLOOKUP($C26,Score!$B$2:$X$71,2,0)</f>
        <v>#N/A</v>
      </c>
      <c r="Q26" s="82" t="e">
        <f>VLOOKUP($C26,Score!$B$2:$X$71,2,0)</f>
        <v>#N/A</v>
      </c>
      <c r="R26" s="82" t="e">
        <f>VLOOKUP($C26,Score!$B$2:$X$71,2,0)</f>
        <v>#N/A</v>
      </c>
      <c r="S26" s="82" t="e">
        <f>VLOOKUP($C26,Score!$B$2:$X$71,2,0)</f>
        <v>#N/A</v>
      </c>
      <c r="T26" s="82" t="e">
        <f>VLOOKUP($C26,Score!$B$2:$X$71,2,0)</f>
        <v>#N/A</v>
      </c>
      <c r="U26" s="82" t="e">
        <f>VLOOKUP($C26,Score!$B$2:$X$71,2,0)</f>
        <v>#N/A</v>
      </c>
      <c r="V26" s="82" t="e">
        <f>VLOOKUP($C26,Score!$B$2:$X$71,2,0)</f>
        <v>#N/A</v>
      </c>
      <c r="W26" s="82" t="e">
        <f>VLOOKUP($C26,Score!$B$2:$X$71,2,0)</f>
        <v>#N/A</v>
      </c>
      <c r="X26" s="82" t="e">
        <f>VLOOKUP($C26,Score!$B$2:$X$71,2,0)</f>
        <v>#N/A</v>
      </c>
      <c r="Y26" s="82" t="e">
        <f>VLOOKUP($C26,Score!$B$2:$X$71,2,0)</f>
        <v>#N/A</v>
      </c>
      <c r="Z26" s="82" t="e">
        <f>VLOOKUP($C26,Score!$B$2:$X$71,2,0)</f>
        <v>#N/A</v>
      </c>
    </row>
    <row r="27" spans="3:27" s="67" customFormat="1">
      <c r="C27" s="41"/>
      <c r="D27" s="56"/>
      <c r="E27" s="56"/>
      <c r="F27" s="57"/>
      <c r="G27" s="56"/>
      <c r="H27" s="56"/>
      <c r="I27" s="56"/>
      <c r="J27" s="56"/>
      <c r="K27" s="56"/>
      <c r="L27" s="56"/>
      <c r="M27" s="56"/>
      <c r="N27" s="56"/>
      <c r="Z27" s="60"/>
    </row>
    <row r="28" spans="3:27" s="67" customFormat="1">
      <c r="C28" s="76"/>
      <c r="D28" s="56"/>
      <c r="E28" s="56"/>
      <c r="F28" s="57"/>
      <c r="G28" s="56"/>
      <c r="H28" s="56"/>
      <c r="I28" s="56"/>
      <c r="J28" s="56"/>
      <c r="K28" s="56"/>
      <c r="L28" s="56"/>
      <c r="M28" s="56"/>
      <c r="N28" s="56"/>
      <c r="Z28" s="60"/>
    </row>
    <row r="29" spans="3:27" s="67" customFormat="1">
      <c r="C29" s="41"/>
      <c r="D29" s="56"/>
      <c r="E29" s="56"/>
      <c r="F29" s="57"/>
      <c r="G29" s="56"/>
      <c r="H29" s="56"/>
      <c r="I29" s="56"/>
      <c r="J29" s="56"/>
      <c r="K29" s="56"/>
      <c r="L29" s="56"/>
      <c r="M29" s="56"/>
      <c r="N29" s="56"/>
      <c r="Z29" s="60"/>
    </row>
    <row r="30" spans="3:27" s="67" customFormat="1">
      <c r="C30" s="41"/>
      <c r="D30" s="56"/>
      <c r="E30" s="56"/>
      <c r="F30" s="57"/>
      <c r="G30" s="56"/>
      <c r="H30" s="56"/>
      <c r="I30" s="56"/>
      <c r="J30" s="56"/>
      <c r="K30" s="56"/>
      <c r="L30" s="56"/>
      <c r="M30" s="56"/>
      <c r="N30" s="56"/>
      <c r="Z30" s="60"/>
    </row>
    <row r="31" spans="3:27" s="67" customFormat="1">
      <c r="C31" s="41"/>
      <c r="D31" s="56"/>
      <c r="E31" s="56"/>
      <c r="F31" s="57"/>
      <c r="G31" s="56"/>
      <c r="H31" s="56"/>
      <c r="I31" s="56"/>
      <c r="J31" s="56"/>
      <c r="K31" s="56"/>
      <c r="L31" s="56"/>
      <c r="M31" s="56"/>
      <c r="N31" s="56"/>
      <c r="Z31" s="60"/>
    </row>
    <row r="32" spans="3:27" s="18" customFormat="1">
      <c r="C32" s="23"/>
      <c r="D32" s="14"/>
      <c r="E32" s="14"/>
      <c r="F32" s="15"/>
      <c r="G32" s="16"/>
      <c r="H32" s="16"/>
      <c r="I32" s="16"/>
      <c r="J32" s="16"/>
      <c r="K32" s="16"/>
      <c r="L32" s="16"/>
      <c r="M32" s="16"/>
      <c r="N32" s="16"/>
      <c r="O32" s="17"/>
      <c r="Z32" s="19"/>
    </row>
    <row r="33" spans="3:26" s="18" customFormat="1">
      <c r="C33" s="23"/>
      <c r="D33" s="14"/>
      <c r="E33" s="14"/>
      <c r="F33" s="15"/>
      <c r="G33" s="16"/>
      <c r="H33" s="16"/>
      <c r="I33" s="16"/>
      <c r="J33" s="16"/>
      <c r="K33" s="16"/>
      <c r="L33" s="16"/>
      <c r="M33" s="16"/>
      <c r="N33" s="16"/>
      <c r="O33" s="17"/>
      <c r="Z33" s="19"/>
    </row>
    <row r="34" spans="3:26" s="18" customFormat="1">
      <c r="C34" s="23"/>
      <c r="D34" s="14"/>
      <c r="E34" s="14"/>
      <c r="F34" s="15"/>
      <c r="G34" s="16"/>
      <c r="H34" s="16"/>
      <c r="I34" s="16"/>
      <c r="J34" s="16"/>
      <c r="K34" s="16"/>
      <c r="L34" s="16"/>
      <c r="M34" s="16"/>
      <c r="N34" s="16"/>
      <c r="O34" s="17"/>
      <c r="Z34" s="19"/>
    </row>
    <row r="35" spans="3:26" s="18" customFormat="1">
      <c r="C35" s="23"/>
      <c r="D35" s="14"/>
      <c r="E35" s="14"/>
      <c r="F35" s="15"/>
      <c r="G35" s="16"/>
      <c r="H35" s="16"/>
      <c r="I35" s="16"/>
      <c r="J35" s="16"/>
      <c r="K35" s="16"/>
      <c r="L35" s="16"/>
      <c r="M35" s="16"/>
      <c r="N35" s="16"/>
      <c r="O35" s="17"/>
      <c r="Z35" s="19"/>
    </row>
    <row r="36" spans="3:26" s="18" customFormat="1">
      <c r="C36" s="23"/>
      <c r="D36" s="14"/>
      <c r="E36" s="14"/>
      <c r="F36" s="15"/>
      <c r="G36" s="16"/>
      <c r="H36" s="16"/>
      <c r="I36" s="16"/>
      <c r="J36" s="16"/>
      <c r="K36" s="16"/>
      <c r="L36" s="16"/>
      <c r="M36" s="16"/>
      <c r="N36" s="16"/>
      <c r="O36" s="17"/>
      <c r="Z36" s="19"/>
    </row>
    <row r="37" spans="3:26" s="18" customFormat="1">
      <c r="C37" s="23"/>
      <c r="D37" s="14"/>
      <c r="E37" s="14"/>
      <c r="F37" s="15"/>
      <c r="G37" s="16"/>
      <c r="H37" s="16"/>
      <c r="I37" s="16"/>
      <c r="J37" s="16"/>
      <c r="K37" s="16"/>
      <c r="L37" s="16"/>
      <c r="M37" s="16"/>
      <c r="N37" s="16"/>
      <c r="O37" s="17"/>
      <c r="Z37" s="19"/>
    </row>
    <row r="38" spans="3:26" s="18" customFormat="1">
      <c r="C38" s="23"/>
      <c r="D38" s="14"/>
      <c r="E38" s="14"/>
      <c r="F38" s="15"/>
      <c r="G38" s="16"/>
      <c r="H38" s="16"/>
      <c r="I38" s="16"/>
      <c r="J38" s="16"/>
      <c r="K38" s="16"/>
      <c r="L38" s="16"/>
      <c r="M38" s="16"/>
      <c r="N38" s="16"/>
      <c r="O38" s="17"/>
      <c r="Z38" s="19"/>
    </row>
    <row r="39" spans="3:26" s="18" customFormat="1">
      <c r="C39" s="23"/>
      <c r="D39" s="14"/>
      <c r="E39" s="14"/>
      <c r="F39" s="15"/>
      <c r="G39" s="16"/>
      <c r="H39" s="16"/>
      <c r="I39" s="16"/>
      <c r="J39" s="16"/>
      <c r="K39" s="16"/>
      <c r="L39" s="16"/>
      <c r="M39" s="16"/>
      <c r="N39" s="16"/>
      <c r="O39" s="17"/>
      <c r="Z39" s="19"/>
    </row>
    <row r="40" spans="3:26" s="18" customFormat="1">
      <c r="C40" s="23"/>
      <c r="D40" s="14"/>
      <c r="E40" s="14"/>
      <c r="F40" s="15"/>
      <c r="G40" s="16"/>
      <c r="H40" s="16"/>
      <c r="I40" s="16"/>
      <c r="J40" s="16"/>
      <c r="K40" s="16"/>
      <c r="L40" s="16"/>
      <c r="M40" s="16"/>
      <c r="N40" s="16"/>
      <c r="O40" s="17"/>
      <c r="Z40" s="19"/>
    </row>
    <row r="41" spans="3:26" s="18" customFormat="1">
      <c r="C41" s="68"/>
      <c r="D41" s="14"/>
      <c r="E41" s="14"/>
      <c r="F41" s="15"/>
      <c r="G41" s="16"/>
      <c r="H41" s="16"/>
      <c r="I41" s="16"/>
      <c r="J41" s="16"/>
      <c r="K41" s="16"/>
      <c r="L41" s="16"/>
      <c r="M41" s="16"/>
      <c r="N41" s="16"/>
      <c r="O41" s="17"/>
      <c r="Z41" s="19"/>
    </row>
    <row r="42" spans="3:26" s="18" customFormat="1">
      <c r="C42" s="68"/>
      <c r="D42" s="14"/>
      <c r="E42" s="14"/>
      <c r="F42" s="15"/>
      <c r="G42" s="16"/>
      <c r="H42" s="16"/>
      <c r="I42" s="16"/>
      <c r="J42" s="16"/>
      <c r="K42" s="16"/>
      <c r="L42" s="16"/>
      <c r="M42" s="16"/>
      <c r="N42" s="16"/>
      <c r="O42" s="17"/>
      <c r="Z42" s="19"/>
    </row>
    <row r="43" spans="3:26" s="18" customFormat="1">
      <c r="C43" s="68"/>
      <c r="D43" s="14"/>
      <c r="E43" s="14"/>
      <c r="F43" s="15"/>
      <c r="G43" s="16"/>
      <c r="H43" s="16"/>
      <c r="I43" s="16"/>
      <c r="J43" s="16"/>
      <c r="K43" s="16"/>
      <c r="L43" s="16"/>
      <c r="M43" s="16"/>
      <c r="N43" s="16"/>
      <c r="O43" s="17"/>
      <c r="Z43" s="19"/>
    </row>
    <row r="44" spans="3:26" s="18" customFormat="1">
      <c r="C44" s="68"/>
      <c r="D44" s="14"/>
      <c r="E44" s="14"/>
      <c r="F44" s="15"/>
      <c r="G44" s="16"/>
      <c r="H44" s="16"/>
      <c r="I44" s="16"/>
      <c r="J44" s="16"/>
      <c r="K44" s="16"/>
      <c r="L44" s="16"/>
      <c r="M44" s="16"/>
      <c r="N44" s="16"/>
      <c r="O44" s="17"/>
      <c r="Z44" s="19"/>
    </row>
    <row r="45" spans="3:26" s="18" customFormat="1">
      <c r="C45" s="68"/>
      <c r="D45" s="14"/>
      <c r="E45" s="14"/>
      <c r="F45" s="15"/>
      <c r="G45" s="16"/>
      <c r="H45" s="16"/>
      <c r="I45" s="16"/>
      <c r="J45" s="16"/>
      <c r="K45" s="16"/>
      <c r="L45" s="16"/>
      <c r="M45" s="16"/>
      <c r="N45" s="16"/>
      <c r="O45" s="17"/>
      <c r="Z45" s="19"/>
    </row>
    <row r="46" spans="3:26" s="18" customFormat="1">
      <c r="C46" s="68"/>
      <c r="D46" s="14"/>
      <c r="E46" s="14"/>
      <c r="F46" s="15"/>
      <c r="G46" s="16"/>
      <c r="H46" s="16"/>
      <c r="I46" s="16"/>
      <c r="J46" s="16"/>
      <c r="K46" s="16"/>
      <c r="L46" s="16"/>
      <c r="M46" s="16"/>
      <c r="N46" s="16"/>
      <c r="O46" s="17"/>
      <c r="Z46" s="19"/>
    </row>
    <row r="47" spans="3:26" s="18" customFormat="1">
      <c r="C47" s="68"/>
      <c r="D47" s="14"/>
      <c r="E47" s="14"/>
      <c r="F47" s="15"/>
      <c r="G47" s="16"/>
      <c r="H47" s="16"/>
      <c r="I47" s="16"/>
      <c r="J47" s="16"/>
      <c r="K47" s="16"/>
      <c r="L47" s="16"/>
      <c r="M47" s="16"/>
      <c r="N47" s="16"/>
      <c r="O47" s="17"/>
      <c r="Z47" s="19"/>
    </row>
    <row r="48" spans="3:26" s="18" customFormat="1">
      <c r="C48" s="68"/>
      <c r="D48" s="14"/>
      <c r="E48" s="14"/>
      <c r="F48" s="15"/>
      <c r="G48" s="16"/>
      <c r="H48" s="16"/>
      <c r="I48" s="16"/>
      <c r="J48" s="16"/>
      <c r="K48" s="16"/>
      <c r="L48" s="16"/>
      <c r="M48" s="16"/>
      <c r="N48" s="16"/>
      <c r="O48" s="17"/>
      <c r="Z48" s="19"/>
    </row>
    <row r="49" spans="3:26" s="18" customFormat="1">
      <c r="C49" s="68"/>
      <c r="D49" s="14"/>
      <c r="E49" s="14"/>
      <c r="F49" s="15"/>
      <c r="G49" s="16"/>
      <c r="H49" s="16"/>
      <c r="I49" s="16"/>
      <c r="J49" s="16"/>
      <c r="K49" s="16"/>
      <c r="L49" s="16"/>
      <c r="M49" s="16"/>
      <c r="N49" s="16"/>
      <c r="O49" s="17"/>
      <c r="Z49" s="19"/>
    </row>
    <row r="50" spans="3:26" s="18" customFormat="1">
      <c r="C50" s="68"/>
      <c r="D50" s="14"/>
      <c r="E50" s="14"/>
      <c r="F50" s="15"/>
      <c r="G50" s="16"/>
      <c r="H50" s="16"/>
      <c r="I50" s="16"/>
      <c r="J50" s="16"/>
      <c r="K50" s="16"/>
      <c r="L50" s="16"/>
      <c r="M50" s="16"/>
      <c r="N50" s="16"/>
      <c r="O50" s="17"/>
      <c r="Z50" s="19"/>
    </row>
    <row r="51" spans="3:26" s="18" customFormat="1">
      <c r="C51" s="68"/>
      <c r="D51" s="14"/>
      <c r="E51" s="14"/>
      <c r="F51" s="15"/>
      <c r="G51" s="16"/>
      <c r="H51" s="16"/>
      <c r="I51" s="16"/>
      <c r="J51" s="16"/>
      <c r="K51" s="16"/>
      <c r="L51" s="16"/>
      <c r="M51" s="16"/>
      <c r="N51" s="16"/>
      <c r="O51" s="17"/>
      <c r="Z51" s="19"/>
    </row>
    <row r="52" spans="3:26" s="18" customFormat="1">
      <c r="C52" s="68"/>
      <c r="D52" s="14"/>
      <c r="E52" s="14"/>
      <c r="F52" s="15"/>
      <c r="G52" s="16"/>
      <c r="H52" s="16"/>
      <c r="I52" s="16"/>
      <c r="J52" s="16"/>
      <c r="K52" s="16"/>
      <c r="L52" s="16"/>
      <c r="M52" s="16"/>
      <c r="N52" s="16"/>
      <c r="O52" s="17"/>
      <c r="Z52" s="19"/>
    </row>
    <row r="53" spans="3:26" s="18" customFormat="1">
      <c r="C53" s="68"/>
      <c r="D53" s="14"/>
      <c r="E53" s="14"/>
      <c r="F53" s="15"/>
      <c r="G53" s="16"/>
      <c r="H53" s="16"/>
      <c r="I53" s="16"/>
      <c r="J53" s="16"/>
      <c r="K53" s="16"/>
      <c r="L53" s="16"/>
      <c r="M53" s="16"/>
      <c r="N53" s="16"/>
      <c r="O53" s="17"/>
      <c r="Z53" s="19"/>
    </row>
    <row r="54" spans="3:26" s="18" customFormat="1">
      <c r="C54" s="68"/>
      <c r="D54" s="14"/>
      <c r="E54" s="14"/>
      <c r="F54" s="15"/>
      <c r="G54" s="16"/>
      <c r="H54" s="16"/>
      <c r="I54" s="16"/>
      <c r="J54" s="16"/>
      <c r="K54" s="16"/>
      <c r="L54" s="16"/>
      <c r="M54" s="16"/>
      <c r="N54" s="16"/>
      <c r="O54" s="17"/>
      <c r="Z54" s="19"/>
    </row>
    <row r="55" spans="3:26" s="18" customFormat="1">
      <c r="C55" s="68"/>
      <c r="D55" s="14"/>
      <c r="E55" s="14"/>
      <c r="F55" s="15"/>
      <c r="G55" s="16"/>
      <c r="H55" s="16"/>
      <c r="I55" s="16"/>
      <c r="J55" s="16"/>
      <c r="K55" s="16"/>
      <c r="L55" s="16"/>
      <c r="M55" s="16"/>
      <c r="N55" s="16"/>
      <c r="O55" s="17"/>
      <c r="Z55" s="19"/>
    </row>
    <row r="56" spans="3:26" s="18" customFormat="1">
      <c r="C56" s="68"/>
      <c r="D56" s="14"/>
      <c r="E56" s="14"/>
      <c r="F56" s="15"/>
      <c r="G56" s="16"/>
      <c r="H56" s="16"/>
      <c r="I56" s="16"/>
      <c r="J56" s="16"/>
      <c r="K56" s="16"/>
      <c r="L56" s="16"/>
      <c r="M56" s="16"/>
      <c r="N56" s="16"/>
      <c r="O56" s="17"/>
      <c r="Z56" s="19"/>
    </row>
    <row r="57" spans="3:26" s="18" customFormat="1">
      <c r="C57" s="68"/>
      <c r="D57" s="14"/>
      <c r="E57" s="14"/>
      <c r="F57" s="15"/>
      <c r="G57" s="16"/>
      <c r="H57" s="16"/>
      <c r="I57" s="16"/>
      <c r="J57" s="16"/>
      <c r="K57" s="16"/>
      <c r="L57" s="16"/>
      <c r="M57" s="16"/>
      <c r="N57" s="16"/>
      <c r="O57" s="17"/>
      <c r="Z57" s="19"/>
    </row>
    <row r="58" spans="3:26" s="18" customFormat="1">
      <c r="C58" s="68"/>
      <c r="D58" s="14"/>
      <c r="E58" s="14"/>
      <c r="F58" s="15"/>
      <c r="G58" s="16"/>
      <c r="H58" s="16"/>
      <c r="I58" s="16"/>
      <c r="J58" s="16"/>
      <c r="K58" s="16"/>
      <c r="L58" s="16"/>
      <c r="M58" s="16"/>
      <c r="N58" s="16"/>
      <c r="O58" s="17"/>
      <c r="Z58" s="19"/>
    </row>
    <row r="59" spans="3:26" s="18" customFormat="1">
      <c r="C59" s="68"/>
      <c r="D59" s="14"/>
      <c r="E59" s="14"/>
      <c r="F59" s="15"/>
      <c r="G59" s="16"/>
      <c r="H59" s="16"/>
      <c r="I59" s="16"/>
      <c r="J59" s="16"/>
      <c r="K59" s="16"/>
      <c r="L59" s="16"/>
      <c r="M59" s="16"/>
      <c r="N59" s="16"/>
      <c r="O59" s="17"/>
      <c r="Z59" s="19"/>
    </row>
    <row r="60" spans="3:26" s="18" customFormat="1">
      <c r="C60" s="68"/>
      <c r="D60" s="14"/>
      <c r="E60" s="14"/>
      <c r="F60" s="15"/>
      <c r="G60" s="16"/>
      <c r="H60" s="16"/>
      <c r="I60" s="16"/>
      <c r="J60" s="16"/>
      <c r="K60" s="16"/>
      <c r="L60" s="16"/>
      <c r="M60" s="16"/>
      <c r="N60" s="16"/>
      <c r="O60" s="17"/>
      <c r="Z60" s="19"/>
    </row>
    <row r="61" spans="3:26" s="18" customFormat="1">
      <c r="C61" s="68"/>
      <c r="D61" s="14"/>
      <c r="E61" s="14"/>
      <c r="F61" s="15"/>
      <c r="G61" s="16"/>
      <c r="H61" s="16"/>
      <c r="I61" s="16"/>
      <c r="J61" s="16"/>
      <c r="K61" s="16"/>
      <c r="L61" s="16"/>
      <c r="M61" s="16"/>
      <c r="N61" s="16"/>
      <c r="O61" s="17"/>
      <c r="Z61" s="19"/>
    </row>
    <row r="62" spans="3:26" s="18" customFormat="1">
      <c r="C62" s="68"/>
      <c r="D62" s="14"/>
      <c r="E62" s="14"/>
      <c r="F62" s="15"/>
      <c r="G62" s="16"/>
      <c r="H62" s="16"/>
      <c r="I62" s="16"/>
      <c r="J62" s="16"/>
      <c r="K62" s="16"/>
      <c r="L62" s="16"/>
      <c r="M62" s="16"/>
      <c r="N62" s="16"/>
      <c r="O62" s="17"/>
      <c r="Z62" s="19"/>
    </row>
    <row r="63" spans="3:26" s="18" customFormat="1">
      <c r="C63" s="68"/>
      <c r="D63" s="14"/>
      <c r="E63" s="14"/>
      <c r="F63" s="15"/>
      <c r="G63" s="16"/>
      <c r="H63" s="16"/>
      <c r="I63" s="16"/>
      <c r="J63" s="16"/>
      <c r="K63" s="16"/>
      <c r="L63" s="16"/>
      <c r="M63" s="16"/>
      <c r="N63" s="16"/>
      <c r="O63" s="17"/>
      <c r="Z63" s="19"/>
    </row>
    <row r="64" spans="3:26" s="18" customFormat="1">
      <c r="C64" s="68"/>
      <c r="D64" s="14"/>
      <c r="E64" s="14"/>
      <c r="F64" s="15"/>
      <c r="G64" s="16"/>
      <c r="H64" s="16"/>
      <c r="I64" s="16"/>
      <c r="J64" s="16"/>
      <c r="K64" s="16"/>
      <c r="L64" s="16"/>
      <c r="M64" s="16"/>
      <c r="N64" s="16"/>
      <c r="O64" s="17"/>
      <c r="Z64" s="19"/>
    </row>
    <row r="65" spans="3:26" s="18" customFormat="1">
      <c r="C65" s="68"/>
      <c r="D65" s="14"/>
      <c r="E65" s="14"/>
      <c r="F65" s="15"/>
      <c r="G65" s="16"/>
      <c r="H65" s="16"/>
      <c r="I65" s="16"/>
      <c r="J65" s="16"/>
      <c r="K65" s="16"/>
      <c r="L65" s="16"/>
      <c r="M65" s="16"/>
      <c r="N65" s="16"/>
      <c r="O65" s="17"/>
      <c r="Z65" s="19"/>
    </row>
    <row r="66" spans="3:26" s="18" customFormat="1">
      <c r="C66" s="68"/>
      <c r="D66" s="14"/>
      <c r="E66" s="14"/>
      <c r="F66" s="15"/>
      <c r="G66" s="16"/>
      <c r="H66" s="16"/>
      <c r="I66" s="16"/>
      <c r="J66" s="16"/>
      <c r="K66" s="16"/>
      <c r="L66" s="16"/>
      <c r="M66" s="16"/>
      <c r="N66" s="16"/>
      <c r="O66" s="17"/>
      <c r="Z66" s="19"/>
    </row>
    <row r="67" spans="3:26" s="18" customFormat="1">
      <c r="C67" s="68"/>
      <c r="D67" s="14"/>
      <c r="E67" s="14"/>
      <c r="F67" s="15"/>
      <c r="G67" s="16"/>
      <c r="H67" s="16"/>
      <c r="I67" s="16"/>
      <c r="J67" s="16"/>
      <c r="K67" s="16"/>
      <c r="L67" s="16"/>
      <c r="M67" s="16"/>
      <c r="N67" s="16"/>
      <c r="O67" s="17"/>
      <c r="Z67" s="19"/>
    </row>
    <row r="68" spans="3:26" s="18" customFormat="1">
      <c r="C68" s="68"/>
      <c r="D68" s="14"/>
      <c r="E68" s="14"/>
      <c r="F68" s="15"/>
      <c r="G68" s="16"/>
      <c r="H68" s="16"/>
      <c r="I68" s="16"/>
      <c r="J68" s="16"/>
      <c r="K68" s="16"/>
      <c r="L68" s="16"/>
      <c r="M68" s="16"/>
      <c r="N68" s="16"/>
      <c r="O68" s="17"/>
      <c r="Z68" s="19"/>
    </row>
    <row r="69" spans="3:26" s="18" customFormat="1">
      <c r="C69" s="68"/>
      <c r="D69" s="14"/>
      <c r="E69" s="14"/>
      <c r="F69" s="15"/>
      <c r="G69" s="16"/>
      <c r="H69" s="16"/>
      <c r="I69" s="16"/>
      <c r="J69" s="16"/>
      <c r="K69" s="16"/>
      <c r="L69" s="16"/>
      <c r="M69" s="16"/>
      <c r="N69" s="16"/>
      <c r="O69" s="17"/>
      <c r="Z69" s="19"/>
    </row>
    <row r="70" spans="3:26" s="18" customFormat="1">
      <c r="C70" s="68"/>
      <c r="D70" s="14"/>
      <c r="E70" s="14"/>
      <c r="F70" s="15"/>
      <c r="G70" s="16"/>
      <c r="H70" s="16"/>
      <c r="I70" s="16"/>
      <c r="J70" s="16"/>
      <c r="K70" s="16"/>
      <c r="L70" s="16"/>
      <c r="M70" s="16"/>
      <c r="N70" s="16"/>
      <c r="O70" s="17"/>
      <c r="Z70" s="19"/>
    </row>
    <row r="71" spans="3:26" s="18" customFormat="1">
      <c r="C71" s="68"/>
      <c r="D71" s="14"/>
      <c r="E71" s="14"/>
      <c r="F71" s="15"/>
      <c r="G71" s="16"/>
      <c r="H71" s="16"/>
      <c r="I71" s="16"/>
      <c r="J71" s="16"/>
      <c r="K71" s="16"/>
      <c r="L71" s="16"/>
      <c r="M71" s="16"/>
      <c r="N71" s="16"/>
      <c r="O71" s="17"/>
      <c r="Z71" s="19"/>
    </row>
  </sheetData>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sheetPr enableFormatConditionsCalculation="0">
    <tabColor indexed="12"/>
  </sheetPr>
  <dimension ref="C1:AA56"/>
  <sheetViews>
    <sheetView showZeros="0" workbookViewId="0">
      <selection activeCell="Z27" sqref="Z27"/>
    </sheetView>
  </sheetViews>
  <sheetFormatPr defaultRowHeight="12.75"/>
  <cols>
    <col min="1" max="1" width="2.7109375" customWidth="1"/>
    <col min="2" max="2" width="3.42578125" customWidth="1"/>
    <col min="3" max="3" width="12.28515625" style="8" customWidth="1"/>
    <col min="4" max="5" width="5.28515625" style="2" customWidth="1"/>
    <col min="6" max="6" width="5.42578125" style="5" customWidth="1"/>
    <col min="7" max="14" width="5.42578125" style="3" customWidth="1"/>
    <col min="15" max="15" width="5.42578125" style="4" customWidth="1"/>
    <col min="16" max="24" width="5.42578125" customWidth="1"/>
    <col min="25" max="25" width="6.85546875" customWidth="1"/>
    <col min="26" max="26" width="6.28515625" style="1" customWidth="1"/>
    <col min="27" max="27" width="15" customWidth="1"/>
  </cols>
  <sheetData>
    <row r="1" spans="3:27">
      <c r="C1" s="25" t="s">
        <v>66</v>
      </c>
      <c r="D1" s="3"/>
    </row>
    <row r="2" spans="3:27">
      <c r="C2" s="1"/>
      <c r="F2" s="3"/>
    </row>
    <row r="3" spans="3:27" s="4" customFormat="1" ht="13.5" thickBot="1">
      <c r="C3" s="42"/>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c r="C4"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20" si="0">SUM(D4:Y4)</f>
        <v>#N/A</v>
      </c>
      <c r="AA4" t="str">
        <f t="shared" ref="AA4:AA20" si="1">C4</f>
        <v>Test</v>
      </c>
    </row>
    <row r="5" spans="3:27">
      <c r="C5"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 t="shared" si="0"/>
        <v>#N/A</v>
      </c>
      <c r="AA20" t="str">
        <f t="shared" si="1"/>
        <v>test17</v>
      </c>
    </row>
    <row r="21" spans="3:27" s="96" customFormat="1">
      <c r="C21" s="96" t="s">
        <v>21</v>
      </c>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Z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 t="shared" si="2"/>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s="81"/>
      <c r="D24" s="82" t="e">
        <f>VLOOKUP($C24,Score!$B$2:$X$71,2,0)</f>
        <v>#N/A</v>
      </c>
      <c r="E24" s="82" t="e">
        <f>VLOOKUP($C24,Score!$B$2:$X$71,2,0)</f>
        <v>#N/A</v>
      </c>
      <c r="F24" s="82" t="e">
        <f>VLOOKUP($C24,Score!$B$2:$X$71,2,0)</f>
        <v>#N/A</v>
      </c>
      <c r="G24" s="82" t="e">
        <f>VLOOKUP($C24,Score!$B$2:$X$71,2,0)</f>
        <v>#N/A</v>
      </c>
      <c r="H24" s="82" t="e">
        <f>VLOOKUP($C24,Score!$B$2:$X$71,2,0)</f>
        <v>#N/A</v>
      </c>
      <c r="I24" s="82" t="e">
        <f>VLOOKUP($C24,Score!$B$2:$X$71,2,0)</f>
        <v>#N/A</v>
      </c>
      <c r="J24" s="82" t="e">
        <f>VLOOKUP($C24,Score!$B$2:$X$71,2,0)</f>
        <v>#N/A</v>
      </c>
      <c r="K24" s="82" t="e">
        <f>VLOOKUP($C24,Score!$B$2:$X$71,2,0)</f>
        <v>#N/A</v>
      </c>
      <c r="L24" s="82" t="e">
        <f>VLOOKUP($C24,Score!$B$2:$X$71,2,0)</f>
        <v>#N/A</v>
      </c>
      <c r="M24" s="82" t="e">
        <f>VLOOKUP($C24,Score!$B$2:$X$71,2,0)</f>
        <v>#N/A</v>
      </c>
      <c r="N24" s="82" t="e">
        <f>VLOOKUP($C24,Score!$B$2:$X$71,2,0)</f>
        <v>#N/A</v>
      </c>
      <c r="O24" s="82" t="e">
        <f>VLOOKUP($C24,Score!$B$2:$X$71,2,0)</f>
        <v>#N/A</v>
      </c>
      <c r="P24" s="82" t="e">
        <f>VLOOKUP($C24,Score!$B$2:$X$71,2,0)</f>
        <v>#N/A</v>
      </c>
      <c r="Q24" s="82" t="e">
        <f>VLOOKUP($C24,Score!$B$2:$X$71,2,0)</f>
        <v>#N/A</v>
      </c>
      <c r="R24" s="82" t="e">
        <f>VLOOKUP($C24,Score!$B$2:$X$71,2,0)</f>
        <v>#N/A</v>
      </c>
      <c r="S24" s="82" t="e">
        <f>VLOOKUP($C24,Score!$B$2:$X$71,2,0)</f>
        <v>#N/A</v>
      </c>
      <c r="T24" s="82" t="e">
        <f>VLOOKUP($C24,Score!$B$2:$X$71,2,0)</f>
        <v>#N/A</v>
      </c>
      <c r="U24" s="82" t="e">
        <f>VLOOKUP($C24,Score!$B$2:$X$71,2,0)</f>
        <v>#N/A</v>
      </c>
      <c r="V24" s="82" t="e">
        <f>VLOOKUP($C24,Score!$B$2:$X$71,2,0)</f>
        <v>#N/A</v>
      </c>
      <c r="W24" s="82" t="e">
        <f>VLOOKUP($C24,Score!$B$2:$X$71,2,0)</f>
        <v>#N/A</v>
      </c>
      <c r="X24" s="82" t="e">
        <f>VLOOKUP($C24,Score!$B$2:$X$71,2,0)</f>
        <v>#N/A</v>
      </c>
      <c r="Y24" s="82" t="e">
        <f>VLOOKUP($C24,Score!$B$2:$X$71,2,0)</f>
        <v>#N/A</v>
      </c>
      <c r="Z24" s="82" t="e">
        <f>VLOOKUP($C24,Score!$B$2:$X$71,2,0)</f>
        <v>#N/A</v>
      </c>
    </row>
    <row r="25" spans="3:27" s="83" customFormat="1">
      <c r="C25" s="81"/>
      <c r="D25" s="82" t="e">
        <f>VLOOKUP($C25,Score!$B$2:$X$71,2,0)</f>
        <v>#N/A</v>
      </c>
      <c r="E25" s="82" t="e">
        <f>VLOOKUP($C25,Score!$B$2:$X$71,2,0)</f>
        <v>#N/A</v>
      </c>
      <c r="F25" s="82" t="e">
        <f>VLOOKUP($C25,Score!$B$2:$X$71,2,0)</f>
        <v>#N/A</v>
      </c>
      <c r="G25" s="82" t="e">
        <f>VLOOKUP($C25,Score!$B$2:$X$71,2,0)</f>
        <v>#N/A</v>
      </c>
      <c r="H25" s="82" t="e">
        <f>VLOOKUP($C25,Score!$B$2:$X$71,2,0)</f>
        <v>#N/A</v>
      </c>
      <c r="I25" s="82" t="e">
        <f>VLOOKUP($C25,Score!$B$2:$X$71,2,0)</f>
        <v>#N/A</v>
      </c>
      <c r="J25" s="82" t="e">
        <f>VLOOKUP($C25,Score!$B$2:$X$71,2,0)</f>
        <v>#N/A</v>
      </c>
      <c r="K25" s="82" t="e">
        <f>VLOOKUP($C25,Score!$B$2:$X$71,2,0)</f>
        <v>#N/A</v>
      </c>
      <c r="L25" s="82" t="e">
        <f>VLOOKUP($C25,Score!$B$2:$X$71,2,0)</f>
        <v>#N/A</v>
      </c>
      <c r="M25" s="82" t="e">
        <f>VLOOKUP($C25,Score!$B$2:$X$71,2,0)</f>
        <v>#N/A</v>
      </c>
      <c r="N25" s="82" t="e">
        <f>VLOOKUP($C25,Score!$B$2:$X$71,2,0)</f>
        <v>#N/A</v>
      </c>
      <c r="O25" s="82" t="e">
        <f>VLOOKUP($C25,Score!$B$2:$X$71,2,0)</f>
        <v>#N/A</v>
      </c>
      <c r="P25" s="82" t="e">
        <f>VLOOKUP($C25,Score!$B$2:$X$71,2,0)</f>
        <v>#N/A</v>
      </c>
      <c r="Q25" s="82" t="e">
        <f>VLOOKUP($C25,Score!$B$2:$X$71,2,0)</f>
        <v>#N/A</v>
      </c>
      <c r="R25" s="82" t="e">
        <f>VLOOKUP($C25,Score!$B$2:$X$71,2,0)</f>
        <v>#N/A</v>
      </c>
      <c r="S25" s="82" t="e">
        <f>VLOOKUP($C25,Score!$B$2:$X$71,2,0)</f>
        <v>#N/A</v>
      </c>
      <c r="T25" s="82" t="e">
        <f>VLOOKUP($C25,Score!$B$2:$X$71,2,0)</f>
        <v>#N/A</v>
      </c>
      <c r="U25" s="82" t="e">
        <f>VLOOKUP($C25,Score!$B$2:$X$71,2,0)</f>
        <v>#N/A</v>
      </c>
      <c r="V25" s="82" t="e">
        <f>VLOOKUP($C25,Score!$B$2:$X$71,2,0)</f>
        <v>#N/A</v>
      </c>
      <c r="W25" s="82" t="e">
        <f>VLOOKUP($C25,Score!$B$2:$X$71,2,0)</f>
        <v>#N/A</v>
      </c>
      <c r="X25" s="82" t="e">
        <f>VLOOKUP($C25,Score!$B$2:$X$71,2,0)</f>
        <v>#N/A</v>
      </c>
      <c r="Y25" s="82" t="e">
        <f>VLOOKUP($C25,Score!$B$2:$X$71,2,0)</f>
        <v>#N/A</v>
      </c>
      <c r="Z25" s="82" t="e">
        <f>VLOOKUP($C25,Score!$B$2:$X$71,2,0)</f>
        <v>#N/A</v>
      </c>
    </row>
    <row r="26" spans="3:27" s="83" customFormat="1">
      <c r="C26" s="81"/>
      <c r="D26" s="82" t="e">
        <f>VLOOKUP($C26,Score!$B$2:$X$71,2,0)</f>
        <v>#N/A</v>
      </c>
      <c r="E26" s="82" t="e">
        <f>VLOOKUP($C26,Score!$B$2:$X$71,2,0)</f>
        <v>#N/A</v>
      </c>
      <c r="F26" s="82" t="e">
        <f>VLOOKUP($C26,Score!$B$2:$X$71,2,0)</f>
        <v>#N/A</v>
      </c>
      <c r="G26" s="82" t="e">
        <f>VLOOKUP($C26,Score!$B$2:$X$71,2,0)</f>
        <v>#N/A</v>
      </c>
      <c r="H26" s="82" t="e">
        <f>VLOOKUP($C26,Score!$B$2:$X$71,2,0)</f>
        <v>#N/A</v>
      </c>
      <c r="I26" s="82" t="e">
        <f>VLOOKUP($C26,Score!$B$2:$X$71,2,0)</f>
        <v>#N/A</v>
      </c>
      <c r="J26" s="82" t="e">
        <f>VLOOKUP($C26,Score!$B$2:$X$71,2,0)</f>
        <v>#N/A</v>
      </c>
      <c r="K26" s="82" t="e">
        <f>VLOOKUP($C26,Score!$B$2:$X$71,2,0)</f>
        <v>#N/A</v>
      </c>
      <c r="L26" s="82" t="e">
        <f>VLOOKUP($C26,Score!$B$2:$X$71,2,0)</f>
        <v>#N/A</v>
      </c>
      <c r="M26" s="82" t="e">
        <f>VLOOKUP($C26,Score!$B$2:$X$71,2,0)</f>
        <v>#N/A</v>
      </c>
      <c r="N26" s="82" t="e">
        <f>VLOOKUP($C26,Score!$B$2:$X$71,2,0)</f>
        <v>#N/A</v>
      </c>
      <c r="O26" s="82" t="e">
        <f>VLOOKUP($C26,Score!$B$2:$X$71,2,0)</f>
        <v>#N/A</v>
      </c>
      <c r="P26" s="82" t="e">
        <f>VLOOKUP($C26,Score!$B$2:$X$71,2,0)</f>
        <v>#N/A</v>
      </c>
      <c r="Q26" s="82" t="e">
        <f>VLOOKUP($C26,Score!$B$2:$X$71,2,0)</f>
        <v>#N/A</v>
      </c>
      <c r="R26" s="82" t="e">
        <f>VLOOKUP($C26,Score!$B$2:$X$71,2,0)</f>
        <v>#N/A</v>
      </c>
      <c r="S26" s="82" t="e">
        <f>VLOOKUP($C26,Score!$B$2:$X$71,2,0)</f>
        <v>#N/A</v>
      </c>
      <c r="T26" s="82" t="e">
        <f>VLOOKUP($C26,Score!$B$2:$X$71,2,0)</f>
        <v>#N/A</v>
      </c>
      <c r="U26" s="82" t="e">
        <f>VLOOKUP($C26,Score!$B$2:$X$71,2,0)</f>
        <v>#N/A</v>
      </c>
      <c r="V26" s="82" t="e">
        <f>VLOOKUP($C26,Score!$B$2:$X$71,2,0)</f>
        <v>#N/A</v>
      </c>
      <c r="W26" s="82" t="e">
        <f>VLOOKUP($C26,Score!$B$2:$X$71,2,0)</f>
        <v>#N/A</v>
      </c>
      <c r="X26" s="82" t="e">
        <f>VLOOKUP($C26,Score!$B$2:$X$71,2,0)</f>
        <v>#N/A</v>
      </c>
      <c r="Y26" s="82" t="e">
        <f>VLOOKUP($C26,Score!$B$2:$X$71,2,0)</f>
        <v>#N/A</v>
      </c>
      <c r="Z26" s="82" t="e">
        <f>VLOOKUP($C26,Score!$B$2:$X$71,2,0)</f>
        <v>#N/A</v>
      </c>
    </row>
    <row r="27" spans="3:27" s="59" customFormat="1">
      <c r="C27" s="58"/>
      <c r="D27" s="58"/>
      <c r="E27" s="58"/>
      <c r="F27" s="57"/>
      <c r="G27" s="58"/>
      <c r="H27" s="58"/>
      <c r="I27" s="58"/>
      <c r="J27" s="58"/>
      <c r="K27" s="58"/>
      <c r="L27" s="58"/>
      <c r="M27" s="58"/>
      <c r="N27" s="58"/>
      <c r="Z27" s="60"/>
    </row>
    <row r="28" spans="3:27" s="59" customFormat="1">
      <c r="C28" s="74"/>
      <c r="D28" s="58"/>
      <c r="E28" s="58"/>
      <c r="F28" s="57"/>
      <c r="G28" s="58"/>
      <c r="H28" s="58"/>
      <c r="I28" s="58"/>
      <c r="J28" s="58"/>
      <c r="K28" s="58"/>
      <c r="L28" s="58"/>
      <c r="M28" s="58"/>
      <c r="N28" s="58"/>
      <c r="Z28" s="60"/>
    </row>
    <row r="29" spans="3:27" s="59" customFormat="1">
      <c r="C29" s="72"/>
      <c r="D29" s="58"/>
      <c r="E29" s="58"/>
      <c r="F29" s="57"/>
      <c r="G29" s="58"/>
      <c r="H29" s="58"/>
      <c r="I29" s="58"/>
      <c r="J29" s="58"/>
      <c r="K29" s="58"/>
      <c r="L29" s="58"/>
      <c r="M29" s="58"/>
      <c r="N29" s="58"/>
      <c r="Z29" s="60"/>
    </row>
    <row r="30" spans="3:27" s="59" customFormat="1">
      <c r="C30" s="72"/>
      <c r="D30" s="58"/>
      <c r="E30" s="58"/>
      <c r="F30" s="57"/>
      <c r="G30" s="58"/>
      <c r="H30" s="58"/>
      <c r="I30" s="58"/>
      <c r="J30" s="58"/>
      <c r="K30" s="58"/>
      <c r="L30" s="58"/>
      <c r="M30" s="58"/>
      <c r="N30" s="58"/>
      <c r="Z30" s="60"/>
    </row>
    <row r="31" spans="3:27" s="61" customFormat="1">
      <c r="C31" s="62"/>
      <c r="D31" s="62"/>
      <c r="E31" s="62"/>
      <c r="F31" s="63"/>
      <c r="G31" s="62"/>
      <c r="H31" s="62"/>
      <c r="I31" s="62"/>
      <c r="J31" s="62"/>
      <c r="K31" s="62"/>
      <c r="L31" s="62"/>
      <c r="M31" s="62"/>
      <c r="N31" s="62"/>
      <c r="Z31" s="64"/>
    </row>
    <row r="44" spans="3:26" s="18" customFormat="1">
      <c r="C44" s="43"/>
      <c r="D44" s="14"/>
      <c r="E44" s="14"/>
      <c r="F44" s="15"/>
      <c r="G44" s="16"/>
      <c r="H44" s="16"/>
      <c r="I44" s="16"/>
      <c r="J44" s="16"/>
      <c r="K44" s="16"/>
      <c r="L44" s="16"/>
      <c r="M44" s="16"/>
      <c r="N44" s="16"/>
      <c r="O44" s="17"/>
      <c r="Z44" s="19"/>
    </row>
    <row r="45" spans="3:26" s="18" customFormat="1">
      <c r="C45" s="43"/>
      <c r="D45" s="14"/>
      <c r="E45" s="14"/>
      <c r="F45" s="15"/>
      <c r="G45" s="16"/>
      <c r="H45" s="16"/>
      <c r="I45" s="16"/>
      <c r="J45" s="16"/>
      <c r="K45" s="16"/>
      <c r="L45" s="16"/>
      <c r="M45" s="16"/>
      <c r="N45" s="16"/>
      <c r="O45" s="17"/>
      <c r="Z45" s="19"/>
    </row>
    <row r="46" spans="3:26" s="18" customFormat="1">
      <c r="C46" s="43"/>
      <c r="D46" s="14"/>
      <c r="E46" s="14"/>
      <c r="F46" s="15"/>
      <c r="G46" s="16"/>
      <c r="H46" s="16"/>
      <c r="I46" s="16"/>
      <c r="J46" s="16"/>
      <c r="K46" s="16"/>
      <c r="L46" s="16"/>
      <c r="M46" s="16"/>
      <c r="N46" s="16"/>
      <c r="O46" s="17"/>
      <c r="Z46" s="19"/>
    </row>
    <row r="47" spans="3:26" s="18" customFormat="1">
      <c r="C47" s="43"/>
      <c r="D47" s="14"/>
      <c r="E47" s="14"/>
      <c r="F47" s="15"/>
      <c r="G47" s="16"/>
      <c r="H47" s="16"/>
      <c r="I47" s="16"/>
      <c r="J47" s="16"/>
      <c r="K47" s="16"/>
      <c r="L47" s="16"/>
      <c r="M47" s="16"/>
      <c r="N47" s="16"/>
      <c r="O47" s="17"/>
      <c r="Z47" s="19"/>
    </row>
    <row r="48" spans="3:26" s="18" customFormat="1">
      <c r="C48" s="43"/>
      <c r="D48" s="14"/>
      <c r="E48" s="14"/>
      <c r="F48" s="15"/>
      <c r="G48" s="16"/>
      <c r="H48" s="16"/>
      <c r="I48" s="16"/>
      <c r="J48" s="16"/>
      <c r="K48" s="16"/>
      <c r="L48" s="16"/>
      <c r="M48" s="16"/>
      <c r="N48" s="16"/>
      <c r="O48" s="17"/>
      <c r="Z48" s="19"/>
    </row>
    <row r="49" spans="3:26" s="18" customFormat="1">
      <c r="C49" s="43"/>
      <c r="D49" s="14"/>
      <c r="E49" s="14"/>
      <c r="F49" s="15"/>
      <c r="G49" s="16"/>
      <c r="H49" s="16"/>
      <c r="I49" s="16"/>
      <c r="J49" s="16"/>
      <c r="K49" s="16"/>
      <c r="L49" s="16"/>
      <c r="M49" s="16"/>
      <c r="N49" s="16"/>
      <c r="O49" s="17"/>
      <c r="Z49" s="19"/>
    </row>
    <row r="50" spans="3:26" s="18" customFormat="1">
      <c r="C50" s="43"/>
      <c r="D50" s="14"/>
      <c r="E50" s="14"/>
      <c r="F50" s="15"/>
      <c r="G50" s="16"/>
      <c r="H50" s="16"/>
      <c r="I50" s="16"/>
      <c r="J50" s="16"/>
      <c r="K50" s="16"/>
      <c r="L50" s="16"/>
      <c r="M50" s="16"/>
      <c r="N50" s="16"/>
      <c r="O50" s="17"/>
      <c r="Z50" s="19"/>
    </row>
    <row r="51" spans="3:26" s="18" customFormat="1">
      <c r="C51" s="43"/>
      <c r="D51" s="14"/>
      <c r="E51" s="14"/>
      <c r="F51" s="15"/>
      <c r="G51" s="16"/>
      <c r="H51" s="16"/>
      <c r="I51" s="16"/>
      <c r="J51" s="16"/>
      <c r="K51" s="16"/>
      <c r="L51" s="16"/>
      <c r="M51" s="16"/>
      <c r="N51" s="16"/>
      <c r="O51" s="17"/>
      <c r="Z51" s="19"/>
    </row>
    <row r="52" spans="3:26" s="18" customFormat="1">
      <c r="C52" s="43"/>
      <c r="D52" s="14"/>
      <c r="E52" s="14"/>
      <c r="F52" s="15"/>
      <c r="G52" s="16"/>
      <c r="H52" s="16"/>
      <c r="I52" s="16"/>
      <c r="J52" s="16"/>
      <c r="K52" s="16"/>
      <c r="L52" s="16"/>
      <c r="M52" s="16"/>
      <c r="N52" s="16"/>
      <c r="O52" s="17"/>
      <c r="Z52" s="19"/>
    </row>
    <row r="53" spans="3:26" s="18" customFormat="1">
      <c r="C53" s="43"/>
      <c r="D53" s="14"/>
      <c r="E53" s="14"/>
      <c r="F53" s="15"/>
      <c r="G53" s="16"/>
      <c r="H53" s="16"/>
      <c r="I53" s="16"/>
      <c r="J53" s="16"/>
      <c r="K53" s="16"/>
      <c r="L53" s="16"/>
      <c r="M53" s="16"/>
      <c r="N53" s="16"/>
      <c r="O53" s="17"/>
      <c r="Z53" s="19"/>
    </row>
    <row r="54" spans="3:26" s="18" customFormat="1">
      <c r="C54" s="43"/>
      <c r="D54" s="14"/>
      <c r="E54" s="14"/>
      <c r="F54" s="15"/>
      <c r="G54" s="16"/>
      <c r="H54" s="16"/>
      <c r="I54" s="16"/>
      <c r="J54" s="16"/>
      <c r="K54" s="16"/>
      <c r="L54" s="16"/>
      <c r="M54" s="16"/>
      <c r="N54" s="16"/>
      <c r="O54" s="17"/>
      <c r="Z54" s="19"/>
    </row>
    <row r="55" spans="3:26" s="18" customFormat="1">
      <c r="C55" s="43"/>
      <c r="D55" s="14"/>
      <c r="E55" s="14"/>
      <c r="F55" s="15"/>
      <c r="G55" s="16"/>
      <c r="H55" s="16"/>
      <c r="I55" s="16"/>
      <c r="J55" s="16"/>
      <c r="K55" s="16"/>
      <c r="L55" s="16"/>
      <c r="M55" s="16"/>
      <c r="N55" s="16"/>
      <c r="O55" s="17"/>
      <c r="Z55" s="19"/>
    </row>
    <row r="56" spans="3:26" s="18" customFormat="1">
      <c r="C56" s="43"/>
      <c r="D56" s="14"/>
      <c r="E56" s="14"/>
      <c r="F56" s="15"/>
      <c r="G56" s="16"/>
      <c r="H56" s="16"/>
      <c r="I56" s="16"/>
      <c r="J56" s="16"/>
      <c r="K56" s="16"/>
      <c r="L56" s="16"/>
      <c r="M56" s="16"/>
      <c r="N56" s="16"/>
      <c r="O56" s="17"/>
      <c r="Z56" s="19"/>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rgb="FFFFC000"/>
  </sheetPr>
  <dimension ref="A1:N531"/>
  <sheetViews>
    <sheetView showGridLines="0" zoomScaleNormal="100" workbookViewId="0">
      <pane ySplit="1" topLeftCell="A22" activePane="bottomLeft" state="frozen"/>
      <selection activeCell="H34" sqref="H34"/>
      <selection pane="bottomLeft" activeCell="D49" sqref="D49"/>
    </sheetView>
  </sheetViews>
  <sheetFormatPr defaultColWidth="8" defaultRowHeight="12.75"/>
  <cols>
    <col min="1" max="1" width="13" style="10" customWidth="1"/>
    <col min="2" max="12" width="10" style="13" customWidth="1"/>
    <col min="13" max="13" width="4.42578125" style="156" customWidth="1"/>
    <col min="14" max="14" width="9.7109375" style="10" bestFit="1" customWidth="1"/>
    <col min="15" max="16384" width="8" style="10"/>
  </cols>
  <sheetData>
    <row r="1" spans="1:14" ht="13.5" thickBot="1">
      <c r="A1" s="86"/>
      <c r="B1" s="85" t="s">
        <v>243</v>
      </c>
      <c r="C1" s="85" t="s">
        <v>244</v>
      </c>
      <c r="D1" s="85" t="s">
        <v>245</v>
      </c>
      <c r="E1" s="85" t="s">
        <v>240</v>
      </c>
      <c r="F1" s="85" t="s">
        <v>242</v>
      </c>
      <c r="G1" s="85" t="s">
        <v>247</v>
      </c>
      <c r="H1" s="85" t="s">
        <v>246</v>
      </c>
      <c r="I1" s="85" t="s">
        <v>241</v>
      </c>
      <c r="J1" s="85" t="s">
        <v>248</v>
      </c>
      <c r="K1" s="85" t="s">
        <v>232</v>
      </c>
      <c r="L1" s="85" t="s">
        <v>239</v>
      </c>
    </row>
    <row r="2" spans="1:14" s="24" customFormat="1" ht="13.5" thickTop="1">
      <c r="A2" s="211" t="s">
        <v>74</v>
      </c>
      <c r="B2" s="129" t="str">
        <f t="shared" ref="B2:L11" ca="1" si="0">IF(ISERROR(VLOOKUP($A2,INDIRECT(B$1&amp;"!"&amp;"c4:c20"),1,0)),"",$M2)</f>
        <v/>
      </c>
      <c r="C2" s="129" t="str">
        <f t="shared" ca="1" si="0"/>
        <v/>
      </c>
      <c r="D2" s="129" t="str">
        <f t="shared" ca="1" si="0"/>
        <v/>
      </c>
      <c r="E2" s="129" t="str">
        <f t="shared" ca="1" si="0"/>
        <v/>
      </c>
      <c r="F2" s="129" t="str">
        <f t="shared" ca="1" si="0"/>
        <v/>
      </c>
      <c r="G2" s="129" t="str">
        <f t="shared" ca="1" si="0"/>
        <v/>
      </c>
      <c r="H2" s="129" t="str">
        <f t="shared" ca="1" si="0"/>
        <v/>
      </c>
      <c r="I2" s="129" t="str">
        <f t="shared" ca="1" si="0"/>
        <v/>
      </c>
      <c r="J2" s="129" t="str">
        <f t="shared" ca="1" si="0"/>
        <v/>
      </c>
      <c r="K2" s="129">
        <f t="shared" ca="1" si="0"/>
        <v>1</v>
      </c>
      <c r="L2" s="129" t="str">
        <f t="shared" ca="1" si="0"/>
        <v/>
      </c>
      <c r="M2" s="157">
        <f ca="1">COUNTIF(Teams!$4:$20,A2)</f>
        <v>1</v>
      </c>
      <c r="N2" s="294">
        <f ca="1">VLOOKUP(A2,Score!B:Z,25,0)</f>
        <v>22.057007483883186</v>
      </c>
    </row>
    <row r="3" spans="1:14" s="24" customFormat="1">
      <c r="A3" s="211" t="s">
        <v>173</v>
      </c>
      <c r="B3" s="129" t="str">
        <f t="shared" ca="1" si="0"/>
        <v/>
      </c>
      <c r="C3" s="129" t="str">
        <f t="shared" ca="1" si="0"/>
        <v/>
      </c>
      <c r="D3" s="129" t="str">
        <f t="shared" ca="1" si="0"/>
        <v/>
      </c>
      <c r="E3" s="129" t="str">
        <f t="shared" ca="1" si="0"/>
        <v/>
      </c>
      <c r="F3" s="129" t="str">
        <f t="shared" ca="1" si="0"/>
        <v/>
      </c>
      <c r="G3" s="129" t="str">
        <f t="shared" ca="1" si="0"/>
        <v/>
      </c>
      <c r="H3" s="129" t="str">
        <f t="shared" ca="1" si="0"/>
        <v/>
      </c>
      <c r="I3" s="129" t="str">
        <f t="shared" ca="1" si="0"/>
        <v/>
      </c>
      <c r="J3" s="129">
        <f t="shared" ca="1" si="0"/>
        <v>1</v>
      </c>
      <c r="K3" s="129" t="str">
        <f t="shared" ca="1" si="0"/>
        <v/>
      </c>
      <c r="L3" s="129" t="str">
        <f t="shared" ca="1" si="0"/>
        <v/>
      </c>
      <c r="M3" s="157">
        <f ca="1">COUNTIF(Teams!$4:$20,A3)</f>
        <v>1</v>
      </c>
      <c r="N3" s="294">
        <f ca="1">VLOOKUP(A3,Score!B:Z,25,0)</f>
        <v>16.090041268473282</v>
      </c>
    </row>
    <row r="4" spans="1:14" s="24" customFormat="1">
      <c r="A4" s="211" t="s">
        <v>217</v>
      </c>
      <c r="B4" s="129" t="str">
        <f t="shared" ca="1" si="0"/>
        <v/>
      </c>
      <c r="C4" s="129" t="str">
        <f t="shared" ca="1" si="0"/>
        <v/>
      </c>
      <c r="D4" s="129">
        <f t="shared" ca="1" si="0"/>
        <v>1</v>
      </c>
      <c r="E4" s="129" t="str">
        <f t="shared" ca="1" si="0"/>
        <v/>
      </c>
      <c r="F4" s="129" t="str">
        <f t="shared" ca="1" si="0"/>
        <v/>
      </c>
      <c r="G4" s="129" t="str">
        <f t="shared" ca="1" si="0"/>
        <v/>
      </c>
      <c r="H4" s="129" t="str">
        <f t="shared" ca="1" si="0"/>
        <v/>
      </c>
      <c r="I4" s="129" t="str">
        <f t="shared" ca="1" si="0"/>
        <v/>
      </c>
      <c r="J4" s="129" t="str">
        <f t="shared" ca="1" si="0"/>
        <v/>
      </c>
      <c r="K4" s="129" t="str">
        <f t="shared" ca="1" si="0"/>
        <v/>
      </c>
      <c r="L4" s="129" t="str">
        <f t="shared" ca="1" si="0"/>
        <v/>
      </c>
      <c r="M4" s="157">
        <f ca="1">COUNTIF(Teams!$4:$20,A4)</f>
        <v>1</v>
      </c>
      <c r="N4" s="294">
        <f ca="1">VLOOKUP(A4,Score!B:Z,25,0)</f>
        <v>6.0385900442030335E-2</v>
      </c>
    </row>
    <row r="5" spans="1:14">
      <c r="A5" s="139" t="s">
        <v>102</v>
      </c>
      <c r="B5" s="129" t="str">
        <f t="shared" ca="1" si="0"/>
        <v/>
      </c>
      <c r="C5" s="129" t="str">
        <f t="shared" ca="1" si="0"/>
        <v/>
      </c>
      <c r="D5" s="129" t="str">
        <f t="shared" ca="1" si="0"/>
        <v/>
      </c>
      <c r="E5" s="129" t="str">
        <f t="shared" ca="1" si="0"/>
        <v/>
      </c>
      <c r="F5" s="129" t="str">
        <f t="shared" ca="1" si="0"/>
        <v/>
      </c>
      <c r="G5" s="129" t="str">
        <f t="shared" ca="1" si="0"/>
        <v/>
      </c>
      <c r="H5" s="129" t="str">
        <f t="shared" ca="1" si="0"/>
        <v/>
      </c>
      <c r="I5" s="129" t="str">
        <f t="shared" ca="1" si="0"/>
        <v/>
      </c>
      <c r="J5" s="129" t="str">
        <f t="shared" ca="1" si="0"/>
        <v/>
      </c>
      <c r="K5" s="129">
        <f t="shared" ca="1" si="0"/>
        <v>1</v>
      </c>
      <c r="L5" s="129" t="str">
        <f t="shared" ca="1" si="0"/>
        <v/>
      </c>
      <c r="M5" s="157">
        <f ca="1">COUNTIF(Teams!$4:$20,A5)</f>
        <v>1</v>
      </c>
      <c r="N5" s="294">
        <f ca="1">VLOOKUP(A5,Score!B:Z,25,0)</f>
        <v>23.056302242437248</v>
      </c>
    </row>
    <row r="6" spans="1:14">
      <c r="A6" s="316" t="s">
        <v>202</v>
      </c>
      <c r="B6" s="317" t="str">
        <f t="shared" ca="1" si="0"/>
        <v/>
      </c>
      <c r="C6" s="317" t="str">
        <f t="shared" ca="1" si="0"/>
        <v/>
      </c>
      <c r="D6" s="317" t="str">
        <f t="shared" ca="1" si="0"/>
        <v/>
      </c>
      <c r="E6" s="317" t="str">
        <f t="shared" ca="1" si="0"/>
        <v/>
      </c>
      <c r="F6" s="317">
        <f t="shared" ca="1" si="0"/>
        <v>1</v>
      </c>
      <c r="G6" s="317" t="str">
        <f t="shared" ca="1" si="0"/>
        <v/>
      </c>
      <c r="H6" s="317" t="str">
        <f t="shared" ca="1" si="0"/>
        <v/>
      </c>
      <c r="I6" s="317" t="str">
        <f t="shared" ca="1" si="0"/>
        <v/>
      </c>
      <c r="J6" s="129" t="str">
        <f t="shared" ca="1" si="0"/>
        <v/>
      </c>
      <c r="K6" s="129" t="str">
        <f t="shared" ca="1" si="0"/>
        <v/>
      </c>
      <c r="L6" s="129" t="str">
        <f t="shared" ca="1" si="0"/>
        <v/>
      </c>
      <c r="M6" s="157">
        <f ca="1">COUNTIF(Teams!$4:$20,A6)</f>
        <v>1</v>
      </c>
      <c r="N6" s="294">
        <f ca="1">VLOOKUP(A6,Score!B:Z,25,0)</f>
        <v>29.051217514035162</v>
      </c>
    </row>
    <row r="7" spans="1:14">
      <c r="A7" s="211" t="s">
        <v>147</v>
      </c>
      <c r="B7" s="129" t="str">
        <f t="shared" ca="1" si="0"/>
        <v/>
      </c>
      <c r="C7" s="129" t="str">
        <f t="shared" ca="1" si="0"/>
        <v/>
      </c>
      <c r="D7" s="129" t="str">
        <f t="shared" ca="1" si="0"/>
        <v/>
      </c>
      <c r="E7" s="129" t="str">
        <f t="shared" ca="1" si="0"/>
        <v/>
      </c>
      <c r="F7" s="129">
        <f t="shared" ca="1" si="0"/>
        <v>1</v>
      </c>
      <c r="G7" s="129" t="str">
        <f t="shared" ca="1" si="0"/>
        <v/>
      </c>
      <c r="H7" s="129" t="str">
        <f t="shared" ca="1" si="0"/>
        <v/>
      </c>
      <c r="I7" s="129" t="str">
        <f t="shared" ca="1" si="0"/>
        <v/>
      </c>
      <c r="J7" s="129" t="str">
        <f t="shared" ca="1" si="0"/>
        <v/>
      </c>
      <c r="K7" s="129" t="str">
        <f t="shared" ca="1" si="0"/>
        <v/>
      </c>
      <c r="L7" s="129" t="str">
        <f t="shared" ca="1" si="0"/>
        <v/>
      </c>
      <c r="M7" s="157">
        <f ca="1">COUNTIF(Teams!$4:$20,A7)</f>
        <v>1</v>
      </c>
      <c r="N7" s="294">
        <f ca="1">VLOOKUP(A7,Score!B:Z,25,0)</f>
        <v>423.08386656367674</v>
      </c>
    </row>
    <row r="8" spans="1:14">
      <c r="A8" s="139" t="s">
        <v>139</v>
      </c>
      <c r="B8" s="129" t="str">
        <f t="shared" ca="1" si="0"/>
        <v/>
      </c>
      <c r="C8" s="129" t="str">
        <f t="shared" ca="1" si="0"/>
        <v/>
      </c>
      <c r="D8" s="129" t="str">
        <f t="shared" ca="1" si="0"/>
        <v/>
      </c>
      <c r="E8" s="129" t="str">
        <f t="shared" ca="1" si="0"/>
        <v/>
      </c>
      <c r="F8" s="129" t="str">
        <f t="shared" ca="1" si="0"/>
        <v/>
      </c>
      <c r="G8" s="129" t="str">
        <f t="shared" ca="1" si="0"/>
        <v/>
      </c>
      <c r="H8" s="129" t="str">
        <f t="shared" ca="1" si="0"/>
        <v/>
      </c>
      <c r="I8" s="129" t="str">
        <f t="shared" ca="1" si="0"/>
        <v/>
      </c>
      <c r="J8" s="129" t="str">
        <f t="shared" ca="1" si="0"/>
        <v/>
      </c>
      <c r="K8" s="129" t="str">
        <f t="shared" ca="1" si="0"/>
        <v/>
      </c>
      <c r="L8" s="129">
        <f t="shared" ca="1" si="0"/>
        <v>1</v>
      </c>
      <c r="M8" s="157">
        <f ca="1">COUNTIF(Teams!$4:$20,A8)</f>
        <v>1</v>
      </c>
      <c r="N8" s="294">
        <f ca="1">VLOOKUP(A8,Score!B:Z,25,0)</f>
        <v>13.020392163981901</v>
      </c>
    </row>
    <row r="9" spans="1:14" s="24" customFormat="1">
      <c r="A9" s="139" t="s">
        <v>125</v>
      </c>
      <c r="B9" s="129" t="str">
        <f t="shared" ca="1" si="0"/>
        <v/>
      </c>
      <c r="C9" s="129" t="str">
        <f t="shared" ca="1" si="0"/>
        <v/>
      </c>
      <c r="D9" s="129" t="str">
        <f t="shared" ca="1" si="0"/>
        <v/>
      </c>
      <c r="E9" s="129" t="str">
        <f t="shared" ca="1" si="0"/>
        <v/>
      </c>
      <c r="F9" s="129" t="str">
        <f t="shared" ca="1" si="0"/>
        <v/>
      </c>
      <c r="G9" s="129" t="str">
        <f t="shared" ca="1" si="0"/>
        <v/>
      </c>
      <c r="H9" s="129" t="str">
        <f t="shared" ca="1" si="0"/>
        <v/>
      </c>
      <c r="I9" s="129" t="str">
        <f t="shared" ca="1" si="0"/>
        <v/>
      </c>
      <c r="J9" s="129" t="str">
        <f t="shared" ca="1" si="0"/>
        <v/>
      </c>
      <c r="K9" s="129" t="str">
        <f t="shared" ca="1" si="0"/>
        <v/>
      </c>
      <c r="L9" s="129">
        <f t="shared" ca="1" si="0"/>
        <v>1</v>
      </c>
      <c r="M9" s="157">
        <f ca="1">COUNTIF(Teams!$4:$20,A9)</f>
        <v>1</v>
      </c>
      <c r="N9" s="294">
        <f ca="1">VLOOKUP(A9,Score!B:Z,25,0)</f>
        <v>4.953592998422076E-2</v>
      </c>
    </row>
    <row r="10" spans="1:14" s="11" customFormat="1">
      <c r="A10" s="139" t="s">
        <v>228</v>
      </c>
      <c r="B10" s="129" t="str">
        <f t="shared" ca="1" si="0"/>
        <v/>
      </c>
      <c r="C10" s="129" t="str">
        <f t="shared" ca="1" si="0"/>
        <v/>
      </c>
      <c r="D10" s="129" t="str">
        <f t="shared" ca="1" si="0"/>
        <v/>
      </c>
      <c r="E10" s="129" t="str">
        <f t="shared" ca="1" si="0"/>
        <v/>
      </c>
      <c r="F10" s="129" t="str">
        <f t="shared" ca="1" si="0"/>
        <v/>
      </c>
      <c r="G10" s="129" t="str">
        <f t="shared" ca="1" si="0"/>
        <v/>
      </c>
      <c r="H10" s="129" t="str">
        <f t="shared" ca="1" si="0"/>
        <v/>
      </c>
      <c r="I10" s="129" t="str">
        <f t="shared" ca="1" si="0"/>
        <v/>
      </c>
      <c r="J10" s="129" t="str">
        <f t="shared" ca="1" si="0"/>
        <v/>
      </c>
      <c r="K10" s="129">
        <f t="shared" ca="1" si="0"/>
        <v>1</v>
      </c>
      <c r="L10" s="129" t="str">
        <f t="shared" ca="1" si="0"/>
        <v/>
      </c>
      <c r="M10" s="157">
        <f ca="1">COUNTIF(Teams!$4:$20,A10)</f>
        <v>1</v>
      </c>
      <c r="N10" s="294">
        <f>VLOOKUP(A10,Score!B:Z,25,0)</f>
        <v>0</v>
      </c>
    </row>
    <row r="11" spans="1:14" s="11" customFormat="1">
      <c r="A11" s="211" t="s">
        <v>78</v>
      </c>
      <c r="B11" s="129" t="str">
        <f t="shared" ca="1" si="0"/>
        <v/>
      </c>
      <c r="C11" s="129" t="str">
        <f t="shared" ca="1" si="0"/>
        <v/>
      </c>
      <c r="D11" s="129" t="str">
        <f t="shared" ca="1" si="0"/>
        <v/>
      </c>
      <c r="E11" s="129" t="str">
        <f t="shared" ca="1" si="0"/>
        <v/>
      </c>
      <c r="F11" s="129" t="str">
        <f t="shared" ca="1" si="0"/>
        <v/>
      </c>
      <c r="G11" s="129" t="str">
        <f t="shared" ca="1" si="0"/>
        <v/>
      </c>
      <c r="H11" s="129" t="str">
        <f t="shared" ca="1" si="0"/>
        <v/>
      </c>
      <c r="I11" s="129">
        <f t="shared" ca="1" si="0"/>
        <v>1</v>
      </c>
      <c r="J11" s="129" t="str">
        <f t="shared" ca="1" si="0"/>
        <v/>
      </c>
      <c r="K11" s="129" t="str">
        <f t="shared" ca="1" si="0"/>
        <v/>
      </c>
      <c r="L11" s="129" t="str">
        <f t="shared" ca="1" si="0"/>
        <v/>
      </c>
      <c r="M11" s="157">
        <f ca="1">COUNTIF(Teams!$4:$20,A11)</f>
        <v>1</v>
      </c>
      <c r="N11" s="294">
        <f ca="1">VLOOKUP(A11,Score!B:Z,25,0)</f>
        <v>6.011569402067483</v>
      </c>
    </row>
    <row r="12" spans="1:14">
      <c r="A12" s="316" t="s">
        <v>83</v>
      </c>
      <c r="B12" s="317" t="str">
        <f t="shared" ref="B12:L21" ca="1" si="1">IF(ISERROR(VLOOKUP($A12,INDIRECT(B$1&amp;"!"&amp;"c4:c20"),1,0)),"",$M12)</f>
        <v/>
      </c>
      <c r="C12" s="317" t="str">
        <f t="shared" ca="1" si="1"/>
        <v/>
      </c>
      <c r="D12" s="317" t="str">
        <f t="shared" ca="1" si="1"/>
        <v/>
      </c>
      <c r="E12" s="317" t="str">
        <f t="shared" ca="1" si="1"/>
        <v/>
      </c>
      <c r="F12" s="317" t="str">
        <f t="shared" ca="1" si="1"/>
        <v/>
      </c>
      <c r="G12" s="317" t="str">
        <f t="shared" ca="1" si="1"/>
        <v/>
      </c>
      <c r="H12" s="317" t="str">
        <f t="shared" ca="1" si="1"/>
        <v/>
      </c>
      <c r="I12" s="317" t="str">
        <f t="shared" ca="1" si="1"/>
        <v/>
      </c>
      <c r="J12" s="317" t="str">
        <f t="shared" ca="1" si="1"/>
        <v/>
      </c>
      <c r="K12" s="317">
        <f t="shared" ca="1" si="1"/>
        <v>1</v>
      </c>
      <c r="L12" s="129" t="str">
        <f t="shared" ca="1" si="1"/>
        <v/>
      </c>
      <c r="M12" s="157">
        <f ca="1">COUNTIF(Teams!$4:$20,A12)</f>
        <v>1</v>
      </c>
      <c r="N12" s="294">
        <f ca="1">VLOOKUP(A12,Score!B:Z,25,0)</f>
        <v>96.077681723540607</v>
      </c>
    </row>
    <row r="13" spans="1:14">
      <c r="A13" s="316" t="s">
        <v>127</v>
      </c>
      <c r="B13" s="317" t="str">
        <f t="shared" ca="1" si="1"/>
        <v/>
      </c>
      <c r="C13" s="317" t="str">
        <f t="shared" ca="1" si="1"/>
        <v/>
      </c>
      <c r="D13" s="317" t="str">
        <f t="shared" ca="1" si="1"/>
        <v/>
      </c>
      <c r="E13" s="317" t="str">
        <f t="shared" ca="1" si="1"/>
        <v/>
      </c>
      <c r="F13" s="317" t="str">
        <f t="shared" ca="1" si="1"/>
        <v/>
      </c>
      <c r="G13" s="317" t="str">
        <f t="shared" ca="1" si="1"/>
        <v/>
      </c>
      <c r="H13" s="317" t="str">
        <f t="shared" ca="1" si="1"/>
        <v/>
      </c>
      <c r="I13" s="317" t="str">
        <f t="shared" ca="1" si="1"/>
        <v/>
      </c>
      <c r="J13" s="317" t="str">
        <f t="shared" ca="1" si="1"/>
        <v/>
      </c>
      <c r="K13" s="317" t="str">
        <f t="shared" ca="1" si="1"/>
        <v/>
      </c>
      <c r="L13" s="317">
        <f t="shared" ca="1" si="1"/>
        <v>1</v>
      </c>
      <c r="M13" s="157">
        <f ca="1">COUNTIF(Teams!$4:$20,A13)</f>
        <v>1</v>
      </c>
      <c r="N13" s="294">
        <f ca="1">VLOOKUP(A13,Score!B:Z,25,0)</f>
        <v>14.074804695683621</v>
      </c>
    </row>
    <row r="14" spans="1:14">
      <c r="A14" s="211" t="s">
        <v>220</v>
      </c>
      <c r="B14" s="129" t="str">
        <f t="shared" ca="1" si="1"/>
        <v/>
      </c>
      <c r="C14" s="129" t="str">
        <f t="shared" ca="1" si="1"/>
        <v/>
      </c>
      <c r="D14" s="129" t="str">
        <f t="shared" ca="1" si="1"/>
        <v/>
      </c>
      <c r="E14" s="129" t="str">
        <f t="shared" ca="1" si="1"/>
        <v/>
      </c>
      <c r="F14" s="129" t="str">
        <f t="shared" ca="1" si="1"/>
        <v/>
      </c>
      <c r="G14" s="129" t="str">
        <f t="shared" ca="1" si="1"/>
        <v/>
      </c>
      <c r="H14" s="129">
        <f t="shared" ca="1" si="1"/>
        <v>1</v>
      </c>
      <c r="I14" s="129" t="str">
        <f t="shared" ca="1" si="1"/>
        <v/>
      </c>
      <c r="J14" s="129" t="str">
        <f t="shared" ca="1" si="1"/>
        <v/>
      </c>
      <c r="K14" s="129" t="str">
        <f t="shared" ca="1" si="1"/>
        <v/>
      </c>
      <c r="L14" s="129" t="str">
        <f t="shared" ca="1" si="1"/>
        <v/>
      </c>
      <c r="M14" s="157">
        <f ca="1">COUNTIF(Teams!$4:$20,A14)</f>
        <v>1</v>
      </c>
      <c r="N14" s="294">
        <f ca="1">VLOOKUP(A14,Score!B:Z,25,0)</f>
        <v>30.052996875907116</v>
      </c>
    </row>
    <row r="15" spans="1:14">
      <c r="A15" s="211" t="s">
        <v>236</v>
      </c>
      <c r="B15" s="129" t="str">
        <f t="shared" ca="1" si="1"/>
        <v/>
      </c>
      <c r="C15" s="129" t="str">
        <f t="shared" ca="1" si="1"/>
        <v/>
      </c>
      <c r="D15" s="129" t="str">
        <f t="shared" ca="1" si="1"/>
        <v/>
      </c>
      <c r="E15" s="129" t="str">
        <f t="shared" ca="1" si="1"/>
        <v/>
      </c>
      <c r="F15" s="129" t="str">
        <f t="shared" ca="1" si="1"/>
        <v/>
      </c>
      <c r="G15" s="129" t="str">
        <f t="shared" ca="1" si="1"/>
        <v/>
      </c>
      <c r="H15" s="129">
        <f t="shared" ca="1" si="1"/>
        <v>1</v>
      </c>
      <c r="I15" s="129" t="str">
        <f t="shared" ca="1" si="1"/>
        <v/>
      </c>
      <c r="J15" s="129" t="str">
        <f t="shared" ca="1" si="1"/>
        <v/>
      </c>
      <c r="K15" s="129" t="str">
        <f t="shared" ca="1" si="1"/>
        <v/>
      </c>
      <c r="L15" s="129" t="str">
        <f t="shared" ca="1" si="1"/>
        <v/>
      </c>
      <c r="M15" s="157">
        <f ca="1">COUNTIF(Teams!$4:$20,A15)</f>
        <v>1</v>
      </c>
      <c r="N15" s="294">
        <f ca="1">VLOOKUP(A15,Score!B:Z,25,0)</f>
        <v>125.04896283040587</v>
      </c>
    </row>
    <row r="16" spans="1:14" s="24" customFormat="1">
      <c r="A16" s="212" t="s">
        <v>69</v>
      </c>
      <c r="B16" s="140" t="str">
        <f t="shared" ca="1" si="1"/>
        <v/>
      </c>
      <c r="C16" s="140" t="str">
        <f t="shared" ca="1" si="1"/>
        <v/>
      </c>
      <c r="D16" s="140" t="str">
        <f t="shared" ca="1" si="1"/>
        <v/>
      </c>
      <c r="E16" s="140" t="str">
        <f t="shared" ca="1" si="1"/>
        <v/>
      </c>
      <c r="F16" s="140" t="str">
        <f t="shared" ca="1" si="1"/>
        <v/>
      </c>
      <c r="G16" s="140" t="str">
        <f t="shared" ca="1" si="1"/>
        <v/>
      </c>
      <c r="H16" s="140">
        <f t="shared" ca="1" si="1"/>
        <v>1</v>
      </c>
      <c r="I16" s="140" t="str">
        <f t="shared" ca="1" si="1"/>
        <v/>
      </c>
      <c r="J16" s="140" t="str">
        <f t="shared" ca="1" si="1"/>
        <v/>
      </c>
      <c r="K16" s="140" t="str">
        <f t="shared" ca="1" si="1"/>
        <v/>
      </c>
      <c r="L16" s="140" t="str">
        <f t="shared" ca="1" si="1"/>
        <v/>
      </c>
      <c r="M16" s="157">
        <f ca="1">COUNTIF(Teams!$4:$20,A16)</f>
        <v>1</v>
      </c>
      <c r="N16" s="294">
        <f ca="1">VLOOKUP(A16,Score!B:Z,25,0)</f>
        <v>24.030704328836315</v>
      </c>
    </row>
    <row r="17" spans="1:14">
      <c r="A17" s="139" t="s">
        <v>73</v>
      </c>
      <c r="B17" s="129" t="str">
        <f t="shared" ca="1" si="1"/>
        <v/>
      </c>
      <c r="C17" s="129" t="str">
        <f t="shared" ca="1" si="1"/>
        <v/>
      </c>
      <c r="D17" s="129" t="str">
        <f t="shared" ca="1" si="1"/>
        <v/>
      </c>
      <c r="E17" s="129" t="str">
        <f t="shared" ca="1" si="1"/>
        <v/>
      </c>
      <c r="F17" s="129" t="str">
        <f t="shared" ca="1" si="1"/>
        <v/>
      </c>
      <c r="G17" s="129" t="str">
        <f t="shared" ca="1" si="1"/>
        <v/>
      </c>
      <c r="H17" s="129" t="str">
        <f t="shared" ca="1" si="1"/>
        <v/>
      </c>
      <c r="I17" s="129">
        <f t="shared" ca="1" si="1"/>
        <v>2</v>
      </c>
      <c r="J17" s="129">
        <f t="shared" ca="1" si="1"/>
        <v>2</v>
      </c>
      <c r="K17" s="129" t="str">
        <f t="shared" ca="1" si="1"/>
        <v/>
      </c>
      <c r="L17" s="129" t="str">
        <f t="shared" ca="1" si="1"/>
        <v/>
      </c>
      <c r="M17" s="157">
        <f ca="1">COUNTIF(Teams!$4:$20,A17)</f>
        <v>2</v>
      </c>
      <c r="N17" s="294">
        <f ca="1">VLOOKUP(A17,Score!B:Z,25,0)</f>
        <v>189.09367147352216</v>
      </c>
    </row>
    <row r="18" spans="1:14">
      <c r="A18" s="318" t="s">
        <v>97</v>
      </c>
      <c r="B18" s="317" t="str">
        <f t="shared" ca="1" si="1"/>
        <v/>
      </c>
      <c r="C18" s="317" t="str">
        <f t="shared" ca="1" si="1"/>
        <v/>
      </c>
      <c r="D18" s="317" t="str">
        <f t="shared" ca="1" si="1"/>
        <v/>
      </c>
      <c r="E18" s="317" t="str">
        <f t="shared" ca="1" si="1"/>
        <v/>
      </c>
      <c r="F18" s="317" t="str">
        <f t="shared" ca="1" si="1"/>
        <v/>
      </c>
      <c r="G18" s="317" t="str">
        <f t="shared" ca="1" si="1"/>
        <v/>
      </c>
      <c r="H18" s="317">
        <f t="shared" ca="1" si="1"/>
        <v>2</v>
      </c>
      <c r="I18" s="317" t="str">
        <f t="shared" ca="1" si="1"/>
        <v/>
      </c>
      <c r="J18" s="317" t="str">
        <f t="shared" ca="1" si="1"/>
        <v/>
      </c>
      <c r="K18" s="317" t="str">
        <f t="shared" ca="1" si="1"/>
        <v/>
      </c>
      <c r="L18" s="317">
        <f t="shared" ca="1" si="1"/>
        <v>2</v>
      </c>
      <c r="M18" s="157">
        <f ca="1">COUNTIF(Teams!$4:$20,A18)</f>
        <v>2</v>
      </c>
      <c r="N18" s="294">
        <f ca="1">VLOOKUP(A18,Score!B:Z,25,0)</f>
        <v>54.021480097178738</v>
      </c>
    </row>
    <row r="19" spans="1:14">
      <c r="A19" s="319" t="s">
        <v>123</v>
      </c>
      <c r="B19" s="320" t="str">
        <f t="shared" ca="1" si="1"/>
        <v/>
      </c>
      <c r="C19" s="320" t="str">
        <f t="shared" ca="1" si="1"/>
        <v/>
      </c>
      <c r="D19" s="320" t="str">
        <f t="shared" ca="1" si="1"/>
        <v/>
      </c>
      <c r="E19" s="320" t="str">
        <f t="shared" ca="1" si="1"/>
        <v/>
      </c>
      <c r="F19" s="320" t="str">
        <f t="shared" ca="1" si="1"/>
        <v/>
      </c>
      <c r="G19" s="320">
        <f t="shared" ca="1" si="1"/>
        <v>2</v>
      </c>
      <c r="H19" s="320" t="str">
        <f t="shared" ca="1" si="1"/>
        <v/>
      </c>
      <c r="I19" s="320" t="str">
        <f t="shared" ca="1" si="1"/>
        <v/>
      </c>
      <c r="J19" s="320" t="str">
        <f t="shared" ca="1" si="1"/>
        <v/>
      </c>
      <c r="K19" s="320" t="str">
        <f t="shared" ca="1" si="1"/>
        <v/>
      </c>
      <c r="L19" s="320">
        <f t="shared" ca="1" si="1"/>
        <v>2</v>
      </c>
      <c r="M19" s="157">
        <f ca="1">COUNTIF(Teams!$4:$20,A19)</f>
        <v>2</v>
      </c>
      <c r="N19" s="294">
        <f ca="1">VLOOKUP(A19,Score!B:Z,25,0)</f>
        <v>9.0170346901431255</v>
      </c>
    </row>
    <row r="20" spans="1:14">
      <c r="A20" s="211" t="s">
        <v>101</v>
      </c>
      <c r="B20" s="129" t="str">
        <f t="shared" ca="1" si="1"/>
        <v/>
      </c>
      <c r="C20" s="129" t="str">
        <f t="shared" ca="1" si="1"/>
        <v/>
      </c>
      <c r="D20" s="129" t="str">
        <f t="shared" ca="1" si="1"/>
        <v/>
      </c>
      <c r="E20" s="129">
        <f t="shared" ca="1" si="1"/>
        <v>3</v>
      </c>
      <c r="F20" s="129" t="str">
        <f t="shared" ca="1" si="1"/>
        <v/>
      </c>
      <c r="G20" s="129" t="str">
        <f t="shared" ca="1" si="1"/>
        <v/>
      </c>
      <c r="H20" s="129" t="str">
        <f t="shared" ca="1" si="1"/>
        <v/>
      </c>
      <c r="I20" s="129" t="str">
        <f t="shared" ca="1" si="1"/>
        <v/>
      </c>
      <c r="J20" s="129">
        <f t="shared" ca="1" si="1"/>
        <v>3</v>
      </c>
      <c r="K20" s="129">
        <f t="shared" ca="1" si="1"/>
        <v>3</v>
      </c>
      <c r="L20" s="129" t="str">
        <f t="shared" ca="1" si="1"/>
        <v/>
      </c>
      <c r="M20" s="157">
        <f ca="1">COUNTIF(Teams!$4:$20,A20)</f>
        <v>3</v>
      </c>
      <c r="N20" s="294">
        <f ca="1">VLOOKUP(A20,Score!B:Z,25,0)</f>
        <v>7.8032900483059636E-2</v>
      </c>
    </row>
    <row r="21" spans="1:14">
      <c r="A21" s="316" t="s">
        <v>93</v>
      </c>
      <c r="B21" s="317" t="str">
        <f t="shared" ca="1" si="1"/>
        <v/>
      </c>
      <c r="C21" s="317">
        <f t="shared" ca="1" si="1"/>
        <v>3</v>
      </c>
      <c r="D21" s="317" t="str">
        <f t="shared" ca="1" si="1"/>
        <v/>
      </c>
      <c r="E21" s="317">
        <f t="shared" ca="1" si="1"/>
        <v>3</v>
      </c>
      <c r="F21" s="317" t="str">
        <f t="shared" ca="1" si="1"/>
        <v/>
      </c>
      <c r="G21" s="317" t="str">
        <f t="shared" ca="1" si="1"/>
        <v/>
      </c>
      <c r="H21" s="317" t="str">
        <f t="shared" ca="1" si="1"/>
        <v/>
      </c>
      <c r="I21" s="317" t="str">
        <f t="shared" ca="1" si="1"/>
        <v/>
      </c>
      <c r="J21" s="317">
        <f t="shared" ca="1" si="1"/>
        <v>3</v>
      </c>
      <c r="K21" s="317" t="str">
        <f t="shared" ca="1" si="1"/>
        <v/>
      </c>
      <c r="L21" s="317" t="str">
        <f t="shared" ca="1" si="1"/>
        <v/>
      </c>
      <c r="M21" s="157">
        <f ca="1">COUNTIF(Teams!$4:$20,A21)</f>
        <v>3</v>
      </c>
      <c r="N21" s="294">
        <f ca="1">VLOOKUP(A21,Score!B:Z,25,0)</f>
        <v>51.002726020143179</v>
      </c>
    </row>
    <row r="22" spans="1:14">
      <c r="A22" s="139" t="s">
        <v>207</v>
      </c>
      <c r="B22" s="129">
        <f t="shared" ref="B22:L31" ca="1" si="2">IF(ISERROR(VLOOKUP($A22,INDIRECT(B$1&amp;"!"&amp;"c4:c20"),1,0)),"",$M22)</f>
        <v>3</v>
      </c>
      <c r="C22" s="129" t="str">
        <f t="shared" ca="1" si="2"/>
        <v/>
      </c>
      <c r="D22" s="129" t="str">
        <f t="shared" ca="1" si="2"/>
        <v/>
      </c>
      <c r="E22" s="129" t="str">
        <f t="shared" ca="1" si="2"/>
        <v/>
      </c>
      <c r="F22" s="129" t="str">
        <f t="shared" ca="1" si="2"/>
        <v/>
      </c>
      <c r="G22" s="129">
        <f t="shared" ca="1" si="2"/>
        <v>3</v>
      </c>
      <c r="H22" s="129" t="str">
        <f t="shared" ca="1" si="2"/>
        <v/>
      </c>
      <c r="I22" s="129" t="str">
        <f t="shared" ca="1" si="2"/>
        <v/>
      </c>
      <c r="J22" s="129">
        <f t="shared" ca="1" si="2"/>
        <v>3</v>
      </c>
      <c r="K22" s="129" t="str">
        <f t="shared" ca="1" si="2"/>
        <v/>
      </c>
      <c r="L22" s="129" t="str">
        <f t="shared" ca="1" si="2"/>
        <v/>
      </c>
      <c r="M22" s="157">
        <f ca="1">COUNTIF(Teams!$4:$20,A22)</f>
        <v>3</v>
      </c>
      <c r="N22" s="294">
        <f ca="1">VLOOKUP(A22,Score!B:Z,25,0)</f>
        <v>204.02067490607044</v>
      </c>
    </row>
    <row r="23" spans="1:14">
      <c r="A23" s="213" t="s">
        <v>89</v>
      </c>
      <c r="B23" s="140" t="str">
        <f t="shared" ca="1" si="2"/>
        <v/>
      </c>
      <c r="C23" s="140" t="str">
        <f t="shared" ca="1" si="2"/>
        <v/>
      </c>
      <c r="D23" s="140">
        <f t="shared" ca="1" si="2"/>
        <v>3</v>
      </c>
      <c r="E23" s="140" t="str">
        <f t="shared" ca="1" si="2"/>
        <v/>
      </c>
      <c r="F23" s="140" t="str">
        <f t="shared" ca="1" si="2"/>
        <v/>
      </c>
      <c r="G23" s="140">
        <f t="shared" ca="1" si="2"/>
        <v>3</v>
      </c>
      <c r="H23" s="140" t="str">
        <f t="shared" ca="1" si="2"/>
        <v/>
      </c>
      <c r="I23" s="140" t="str">
        <f t="shared" ca="1" si="2"/>
        <v/>
      </c>
      <c r="J23" s="140" t="str">
        <f t="shared" ca="1" si="2"/>
        <v/>
      </c>
      <c r="K23" s="140">
        <f t="shared" ca="1" si="2"/>
        <v>3</v>
      </c>
      <c r="L23" s="140" t="str">
        <f t="shared" ca="1" si="2"/>
        <v/>
      </c>
      <c r="M23" s="157">
        <f ca="1">COUNTIF(Teams!$4:$20,A23)</f>
        <v>3</v>
      </c>
      <c r="N23" s="294">
        <f ca="1">VLOOKUP(A23,Score!B:Z,25,0)</f>
        <v>139.0386807353191</v>
      </c>
    </row>
    <row r="24" spans="1:14">
      <c r="A24" s="318" t="s">
        <v>70</v>
      </c>
      <c r="B24" s="317" t="str">
        <f t="shared" ca="1" si="2"/>
        <v/>
      </c>
      <c r="C24" s="317">
        <f t="shared" ca="1" si="2"/>
        <v>4</v>
      </c>
      <c r="D24" s="317" t="str">
        <f t="shared" ca="1" si="2"/>
        <v/>
      </c>
      <c r="E24" s="317" t="str">
        <f t="shared" ca="1" si="2"/>
        <v/>
      </c>
      <c r="F24" s="317">
        <f t="shared" ca="1" si="2"/>
        <v>4</v>
      </c>
      <c r="G24" s="317" t="str">
        <f t="shared" ca="1" si="2"/>
        <v/>
      </c>
      <c r="H24" s="317" t="str">
        <f t="shared" ca="1" si="2"/>
        <v/>
      </c>
      <c r="I24" s="317">
        <f t="shared" ca="1" si="2"/>
        <v>4</v>
      </c>
      <c r="J24" s="317" t="str">
        <f t="shared" ca="1" si="2"/>
        <v/>
      </c>
      <c r="K24" s="317" t="str">
        <f t="shared" ca="1" si="2"/>
        <v/>
      </c>
      <c r="L24" s="317">
        <f t="shared" ca="1" si="2"/>
        <v>4</v>
      </c>
      <c r="M24" s="157">
        <f ca="1">COUNTIF(Teams!$4:$20,A24)</f>
        <v>4</v>
      </c>
      <c r="N24" s="294">
        <f ca="1">VLOOKUP(A24,Score!B:Z,25,0)</f>
        <v>27.056902252550096</v>
      </c>
    </row>
    <row r="25" spans="1:14">
      <c r="A25" s="139" t="s">
        <v>98</v>
      </c>
      <c r="B25" s="129">
        <f t="shared" ca="1" si="2"/>
        <v>4</v>
      </c>
      <c r="C25" s="129" t="str">
        <f t="shared" ca="1" si="2"/>
        <v/>
      </c>
      <c r="D25" s="129" t="str">
        <f t="shared" ca="1" si="2"/>
        <v/>
      </c>
      <c r="E25" s="129">
        <f t="shared" ca="1" si="2"/>
        <v>4</v>
      </c>
      <c r="F25" s="129" t="str">
        <f t="shared" ca="1" si="2"/>
        <v/>
      </c>
      <c r="G25" s="129">
        <f t="shared" ca="1" si="2"/>
        <v>4</v>
      </c>
      <c r="H25" s="129" t="str">
        <f t="shared" ca="1" si="2"/>
        <v/>
      </c>
      <c r="I25" s="129" t="str">
        <f t="shared" ca="1" si="2"/>
        <v/>
      </c>
      <c r="J25" s="129" t="str">
        <f t="shared" ca="1" si="2"/>
        <v/>
      </c>
      <c r="K25" s="129">
        <f t="shared" ca="1" si="2"/>
        <v>4</v>
      </c>
      <c r="L25" s="129" t="str">
        <f t="shared" ca="1" si="2"/>
        <v/>
      </c>
      <c r="M25" s="157">
        <f ca="1">COUNTIF(Teams!$4:$20,A25)</f>
        <v>4</v>
      </c>
      <c r="N25" s="294">
        <f ca="1">VLOOKUP(A25,Score!B:Z,25,0)</f>
        <v>95.029901451657864</v>
      </c>
    </row>
    <row r="26" spans="1:14">
      <c r="A26" s="139" t="s">
        <v>137</v>
      </c>
      <c r="B26" s="129">
        <f t="shared" ca="1" si="2"/>
        <v>4</v>
      </c>
      <c r="C26" s="129" t="str">
        <f t="shared" ca="1" si="2"/>
        <v/>
      </c>
      <c r="D26" s="129" t="str">
        <f t="shared" ca="1" si="2"/>
        <v/>
      </c>
      <c r="E26" s="129" t="str">
        <f t="shared" ca="1" si="2"/>
        <v/>
      </c>
      <c r="F26" s="129" t="str">
        <f t="shared" ca="1" si="2"/>
        <v/>
      </c>
      <c r="G26" s="129">
        <f t="shared" ca="1" si="2"/>
        <v>4</v>
      </c>
      <c r="H26" s="129" t="str">
        <f t="shared" ca="1" si="2"/>
        <v/>
      </c>
      <c r="I26" s="129">
        <f t="shared" ca="1" si="2"/>
        <v>4</v>
      </c>
      <c r="J26" s="129" t="str">
        <f t="shared" ca="1" si="2"/>
        <v/>
      </c>
      <c r="K26" s="129" t="str">
        <f t="shared" ca="1" si="2"/>
        <v/>
      </c>
      <c r="L26" s="129">
        <f t="shared" ca="1" si="2"/>
        <v>4</v>
      </c>
      <c r="M26" s="157">
        <f ca="1">COUNTIF(Teams!$4:$20,A26)</f>
        <v>4</v>
      </c>
      <c r="N26" s="294">
        <f ca="1">VLOOKUP(A26,Score!B:Z,25,0)</f>
        <v>172.05723093701624</v>
      </c>
    </row>
    <row r="27" spans="1:14">
      <c r="A27" s="212" t="s">
        <v>88</v>
      </c>
      <c r="B27" s="140" t="str">
        <f t="shared" ca="1" si="2"/>
        <v/>
      </c>
      <c r="C27" s="140" t="str">
        <f t="shared" ca="1" si="2"/>
        <v/>
      </c>
      <c r="D27" s="140" t="str">
        <f t="shared" ca="1" si="2"/>
        <v/>
      </c>
      <c r="E27" s="140" t="str">
        <f t="shared" ca="1" si="2"/>
        <v/>
      </c>
      <c r="F27" s="140" t="str">
        <f t="shared" ca="1" si="2"/>
        <v/>
      </c>
      <c r="G27" s="140" t="str">
        <f t="shared" ca="1" si="2"/>
        <v/>
      </c>
      <c r="H27" s="140" t="str">
        <f t="shared" ca="1" si="2"/>
        <v/>
      </c>
      <c r="I27" s="140">
        <f t="shared" ca="1" si="2"/>
        <v>4</v>
      </c>
      <c r="J27" s="140">
        <f t="shared" ca="1" si="2"/>
        <v>4</v>
      </c>
      <c r="K27" s="140">
        <f t="shared" ca="1" si="2"/>
        <v>4</v>
      </c>
      <c r="L27" s="140">
        <f t="shared" ca="1" si="2"/>
        <v>4</v>
      </c>
      <c r="M27" s="157">
        <f ca="1">COUNTIF(Teams!$4:$20,A27)</f>
        <v>4</v>
      </c>
      <c r="N27" s="294">
        <f ca="1">VLOOKUP(A27,Score!B:Z,25,0)</f>
        <v>47.094909672091077</v>
      </c>
    </row>
    <row r="28" spans="1:14">
      <c r="A28" s="213" t="s">
        <v>170</v>
      </c>
      <c r="B28" s="140">
        <f t="shared" ca="1" si="2"/>
        <v>5</v>
      </c>
      <c r="C28" s="140">
        <f t="shared" ca="1" si="2"/>
        <v>5</v>
      </c>
      <c r="D28" s="140">
        <f t="shared" ca="1" si="2"/>
        <v>5</v>
      </c>
      <c r="E28" s="140" t="str">
        <f t="shared" ca="1" si="2"/>
        <v/>
      </c>
      <c r="F28" s="140">
        <f t="shared" ca="1" si="2"/>
        <v>5</v>
      </c>
      <c r="G28" s="140" t="str">
        <f t="shared" ca="1" si="2"/>
        <v/>
      </c>
      <c r="H28" s="140" t="str">
        <f t="shared" ca="1" si="2"/>
        <v/>
      </c>
      <c r="I28" s="140">
        <f t="shared" ca="1" si="2"/>
        <v>5</v>
      </c>
      <c r="J28" s="140" t="str">
        <f t="shared" ca="1" si="2"/>
        <v/>
      </c>
      <c r="K28" s="140" t="str">
        <f t="shared" ca="1" si="2"/>
        <v/>
      </c>
      <c r="L28" s="140" t="str">
        <f t="shared" ca="1" si="2"/>
        <v/>
      </c>
      <c r="M28" s="157">
        <f ca="1">COUNTIF(Teams!$4:$20,A28)</f>
        <v>5</v>
      </c>
      <c r="N28" s="294">
        <f ca="1">VLOOKUP(A28,Score!B:Z,25,0)</f>
        <v>403.01312799751599</v>
      </c>
    </row>
    <row r="29" spans="1:14">
      <c r="A29" s="316" t="s">
        <v>79</v>
      </c>
      <c r="B29" s="317" t="str">
        <f t="shared" ca="1" si="2"/>
        <v/>
      </c>
      <c r="C29" s="317">
        <f t="shared" ca="1" si="2"/>
        <v>6</v>
      </c>
      <c r="D29" s="317">
        <f t="shared" ca="1" si="2"/>
        <v>6</v>
      </c>
      <c r="E29" s="317">
        <f t="shared" ca="1" si="2"/>
        <v>6</v>
      </c>
      <c r="F29" s="317">
        <f t="shared" ca="1" si="2"/>
        <v>6</v>
      </c>
      <c r="G29" s="317">
        <f t="shared" ca="1" si="2"/>
        <v>6</v>
      </c>
      <c r="H29" s="317">
        <f t="shared" ca="1" si="2"/>
        <v>6</v>
      </c>
      <c r="I29" s="317" t="str">
        <f t="shared" ca="1" si="2"/>
        <v/>
      </c>
      <c r="J29" s="129" t="str">
        <f t="shared" ca="1" si="2"/>
        <v/>
      </c>
      <c r="K29" s="129" t="str">
        <f t="shared" ca="1" si="2"/>
        <v/>
      </c>
      <c r="L29" s="129" t="str">
        <f t="shared" ca="1" si="2"/>
        <v/>
      </c>
      <c r="M29" s="157">
        <f ca="1">COUNTIF(Teams!$4:$20,A29)</f>
        <v>6</v>
      </c>
      <c r="N29" s="294">
        <f ca="1">VLOOKUP(A29,Score!B:Z,25,0)</f>
        <v>208.0560088119135</v>
      </c>
    </row>
    <row r="30" spans="1:14">
      <c r="A30" s="139" t="s">
        <v>100</v>
      </c>
      <c r="B30" s="129">
        <f t="shared" ca="1" si="2"/>
        <v>6</v>
      </c>
      <c r="C30" s="129">
        <f t="shared" ca="1" si="2"/>
        <v>6</v>
      </c>
      <c r="D30" s="129" t="str">
        <f t="shared" ca="1" si="2"/>
        <v/>
      </c>
      <c r="E30" s="129">
        <f t="shared" ca="1" si="2"/>
        <v>6</v>
      </c>
      <c r="F30" s="129">
        <f t="shared" ca="1" si="2"/>
        <v>6</v>
      </c>
      <c r="G30" s="129" t="str">
        <f t="shared" ca="1" si="2"/>
        <v/>
      </c>
      <c r="H30" s="129" t="str">
        <f t="shared" ca="1" si="2"/>
        <v/>
      </c>
      <c r="I30" s="129">
        <f t="shared" ca="1" si="2"/>
        <v>6</v>
      </c>
      <c r="J30" s="129" t="str">
        <f t="shared" ca="1" si="2"/>
        <v/>
      </c>
      <c r="K30" s="129" t="str">
        <f t="shared" ca="1" si="2"/>
        <v/>
      </c>
      <c r="L30" s="129">
        <f t="shared" ca="1" si="2"/>
        <v>6</v>
      </c>
      <c r="M30" s="157">
        <f ca="1">COUNTIF(Teams!$4:$20,A30)</f>
        <v>6</v>
      </c>
      <c r="N30" s="294">
        <f ca="1">VLOOKUP(A30,Score!B:Z,25,0)</f>
        <v>249.03859848521671</v>
      </c>
    </row>
    <row r="31" spans="1:14">
      <c r="A31" s="139" t="s">
        <v>82</v>
      </c>
      <c r="B31" s="129" t="str">
        <f t="shared" ca="1" si="2"/>
        <v/>
      </c>
      <c r="C31" s="129">
        <f t="shared" ca="1" si="2"/>
        <v>6</v>
      </c>
      <c r="D31" s="129">
        <f t="shared" ca="1" si="2"/>
        <v>6</v>
      </c>
      <c r="E31" s="129">
        <f t="shared" ca="1" si="2"/>
        <v>6</v>
      </c>
      <c r="F31" s="129" t="str">
        <f t="shared" ca="1" si="2"/>
        <v/>
      </c>
      <c r="G31" s="129" t="str">
        <f t="shared" ca="1" si="2"/>
        <v/>
      </c>
      <c r="H31" s="129">
        <f t="shared" ca="1" si="2"/>
        <v>6</v>
      </c>
      <c r="I31" s="129">
        <f t="shared" ca="1" si="2"/>
        <v>6</v>
      </c>
      <c r="J31" s="129">
        <f t="shared" ca="1" si="2"/>
        <v>6</v>
      </c>
      <c r="K31" s="129" t="str">
        <f t="shared" ca="1" si="2"/>
        <v/>
      </c>
      <c r="L31" s="129" t="str">
        <f t="shared" ca="1" si="2"/>
        <v/>
      </c>
      <c r="M31" s="157">
        <f ca="1">COUNTIF(Teams!$4:$20,A31)</f>
        <v>6</v>
      </c>
      <c r="N31" s="294">
        <f ca="1">VLOOKUP(A31,Score!B:Z,25,0)</f>
        <v>14.081791760144158</v>
      </c>
    </row>
    <row r="32" spans="1:14">
      <c r="A32" s="213" t="s">
        <v>143</v>
      </c>
      <c r="B32" s="140" t="str">
        <f t="shared" ref="B32:L44" ca="1" si="3">IF(ISERROR(VLOOKUP($A32,INDIRECT(B$1&amp;"!"&amp;"c4:c20"),1,0)),"",$M32)</f>
        <v/>
      </c>
      <c r="C32" s="140" t="str">
        <f t="shared" ca="1" si="3"/>
        <v/>
      </c>
      <c r="D32" s="140" t="str">
        <f t="shared" ca="1" si="3"/>
        <v/>
      </c>
      <c r="E32" s="140" t="str">
        <f t="shared" ca="1" si="3"/>
        <v/>
      </c>
      <c r="F32" s="140">
        <f t="shared" ca="1" si="3"/>
        <v>6</v>
      </c>
      <c r="G32" s="140">
        <f t="shared" ca="1" si="3"/>
        <v>6</v>
      </c>
      <c r="H32" s="140">
        <f t="shared" ca="1" si="3"/>
        <v>6</v>
      </c>
      <c r="I32" s="140" t="str">
        <f t="shared" ca="1" si="3"/>
        <v/>
      </c>
      <c r="J32" s="140">
        <f t="shared" ca="1" si="3"/>
        <v>6</v>
      </c>
      <c r="K32" s="140">
        <f t="shared" ca="1" si="3"/>
        <v>6</v>
      </c>
      <c r="L32" s="140">
        <f t="shared" ca="1" si="3"/>
        <v>6</v>
      </c>
      <c r="M32" s="157">
        <f ca="1">COUNTIF(Teams!$4:$20,A32)</f>
        <v>6</v>
      </c>
      <c r="N32" s="294">
        <f ca="1">VLOOKUP(A32,Score!B:Z,25,0)</f>
        <v>89.03443225662204</v>
      </c>
    </row>
    <row r="33" spans="1:14">
      <c r="A33" s="213" t="s">
        <v>76</v>
      </c>
      <c r="B33" s="140">
        <f t="shared" ca="1" si="3"/>
        <v>7</v>
      </c>
      <c r="C33" s="140">
        <f t="shared" ca="1" si="3"/>
        <v>7</v>
      </c>
      <c r="D33" s="140">
        <f t="shared" ca="1" si="3"/>
        <v>7</v>
      </c>
      <c r="E33" s="140">
        <f t="shared" ca="1" si="3"/>
        <v>7</v>
      </c>
      <c r="F33" s="140" t="str">
        <f t="shared" ca="1" si="3"/>
        <v/>
      </c>
      <c r="G33" s="140" t="str">
        <f t="shared" ca="1" si="3"/>
        <v/>
      </c>
      <c r="H33" s="140">
        <f t="shared" ca="1" si="3"/>
        <v>7</v>
      </c>
      <c r="I33" s="140">
        <f t="shared" ca="1" si="3"/>
        <v>7</v>
      </c>
      <c r="J33" s="140" t="str">
        <f t="shared" ca="1" si="3"/>
        <v/>
      </c>
      <c r="K33" s="140" t="str">
        <f t="shared" ca="1" si="3"/>
        <v/>
      </c>
      <c r="L33" s="140">
        <f t="shared" ca="1" si="3"/>
        <v>7</v>
      </c>
      <c r="M33" s="157">
        <f ca="1">COUNTIF(Teams!$4:$20,A33)</f>
        <v>7</v>
      </c>
      <c r="N33" s="294">
        <f ca="1">VLOOKUP(A33,Score!B:Z,25,0)</f>
        <v>69.004325144389838</v>
      </c>
    </row>
    <row r="34" spans="1:14">
      <c r="A34" s="139" t="s">
        <v>99</v>
      </c>
      <c r="B34" s="129">
        <f t="shared" ca="1" si="3"/>
        <v>8</v>
      </c>
      <c r="C34" s="129">
        <f t="shared" ca="1" si="3"/>
        <v>8</v>
      </c>
      <c r="D34" s="129">
        <f t="shared" ca="1" si="3"/>
        <v>8</v>
      </c>
      <c r="E34" s="129">
        <f t="shared" ca="1" si="3"/>
        <v>8</v>
      </c>
      <c r="F34" s="129">
        <f t="shared" ca="1" si="3"/>
        <v>8</v>
      </c>
      <c r="G34" s="129" t="str">
        <f t="shared" ca="1" si="3"/>
        <v/>
      </c>
      <c r="H34" s="129" t="str">
        <f t="shared" ca="1" si="3"/>
        <v/>
      </c>
      <c r="I34" s="129">
        <f t="shared" ca="1" si="3"/>
        <v>8</v>
      </c>
      <c r="J34" s="129">
        <f t="shared" ca="1" si="3"/>
        <v>8</v>
      </c>
      <c r="K34" s="129">
        <f t="shared" ca="1" si="3"/>
        <v>8</v>
      </c>
      <c r="L34" s="129" t="str">
        <f t="shared" ca="1" si="3"/>
        <v/>
      </c>
      <c r="M34" s="157">
        <f ca="1">COUNTIF(Teams!$4:$20,A34)</f>
        <v>8</v>
      </c>
      <c r="N34" s="294">
        <f ca="1">VLOOKUP(A34,Score!B:Z,25,0)</f>
        <v>283.00841537130151</v>
      </c>
    </row>
    <row r="35" spans="1:14">
      <c r="A35" s="313" t="s">
        <v>132</v>
      </c>
      <c r="B35" s="314">
        <f t="shared" ca="1" si="3"/>
        <v>8</v>
      </c>
      <c r="C35" s="314">
        <f t="shared" ca="1" si="3"/>
        <v>8</v>
      </c>
      <c r="D35" s="314">
        <f t="shared" ca="1" si="3"/>
        <v>8</v>
      </c>
      <c r="E35" s="314" t="str">
        <f t="shared" ca="1" si="3"/>
        <v/>
      </c>
      <c r="F35" s="314">
        <f t="shared" ca="1" si="3"/>
        <v>8</v>
      </c>
      <c r="G35" s="314">
        <f t="shared" ca="1" si="3"/>
        <v>8</v>
      </c>
      <c r="H35" s="314">
        <f t="shared" ca="1" si="3"/>
        <v>8</v>
      </c>
      <c r="I35" s="314">
        <f t="shared" ca="1" si="3"/>
        <v>8</v>
      </c>
      <c r="J35" s="314" t="str">
        <f t="shared" ca="1" si="3"/>
        <v/>
      </c>
      <c r="K35" s="314" t="str">
        <f t="shared" ca="1" si="3"/>
        <v/>
      </c>
      <c r="L35" s="314">
        <f t="shared" ca="1" si="3"/>
        <v>8</v>
      </c>
      <c r="M35" s="157">
        <f ca="1">COUNTIF(Teams!$4:$20,A35)</f>
        <v>8</v>
      </c>
      <c r="N35" s="294">
        <f ca="1">VLOOKUP(A35,Score!B:Z,25,0)</f>
        <v>7.3960276948728351E-2</v>
      </c>
    </row>
    <row r="36" spans="1:14">
      <c r="A36" s="213" t="s">
        <v>159</v>
      </c>
      <c r="B36" s="140">
        <f t="shared" ca="1" si="3"/>
        <v>8</v>
      </c>
      <c r="C36" s="140">
        <f t="shared" ca="1" si="3"/>
        <v>8</v>
      </c>
      <c r="D36" s="140">
        <f t="shared" ca="1" si="3"/>
        <v>8</v>
      </c>
      <c r="E36" s="140">
        <f t="shared" ca="1" si="3"/>
        <v>8</v>
      </c>
      <c r="F36" s="140" t="str">
        <f t="shared" ca="1" si="3"/>
        <v/>
      </c>
      <c r="G36" s="140">
        <f t="shared" ca="1" si="3"/>
        <v>8</v>
      </c>
      <c r="H36" s="140" t="str">
        <f t="shared" ca="1" si="3"/>
        <v/>
      </c>
      <c r="I36" s="140">
        <f t="shared" ca="1" si="3"/>
        <v>8</v>
      </c>
      <c r="J36" s="140">
        <f t="shared" ca="1" si="3"/>
        <v>8</v>
      </c>
      <c r="K36" s="140">
        <f t="shared" ca="1" si="3"/>
        <v>8</v>
      </c>
      <c r="L36" s="140" t="str">
        <f t="shared" ca="1" si="3"/>
        <v/>
      </c>
      <c r="M36" s="157">
        <f ca="1">COUNTIF(Teams!$4:$20,A36)</f>
        <v>8</v>
      </c>
      <c r="N36" s="294">
        <f ca="1">VLOOKUP(A36,Score!B:Z,25,0)</f>
        <v>52.004242049186956</v>
      </c>
    </row>
    <row r="37" spans="1:14">
      <c r="A37" s="139" t="s">
        <v>75</v>
      </c>
      <c r="B37" s="129">
        <f t="shared" ca="1" si="3"/>
        <v>9</v>
      </c>
      <c r="C37" s="129">
        <f t="shared" ca="1" si="3"/>
        <v>9</v>
      </c>
      <c r="D37" s="129">
        <f t="shared" ca="1" si="3"/>
        <v>9</v>
      </c>
      <c r="E37" s="129">
        <f t="shared" ca="1" si="3"/>
        <v>9</v>
      </c>
      <c r="F37" s="129">
        <f t="shared" ca="1" si="3"/>
        <v>9</v>
      </c>
      <c r="G37" s="129">
        <f t="shared" ca="1" si="3"/>
        <v>9</v>
      </c>
      <c r="H37" s="129">
        <f t="shared" ca="1" si="3"/>
        <v>9</v>
      </c>
      <c r="I37" s="129" t="str">
        <f t="shared" ca="1" si="3"/>
        <v/>
      </c>
      <c r="J37" s="129">
        <f t="shared" ca="1" si="3"/>
        <v>9</v>
      </c>
      <c r="K37" s="129">
        <f t="shared" ca="1" si="3"/>
        <v>9</v>
      </c>
      <c r="L37" s="129" t="str">
        <f t="shared" ca="1" si="3"/>
        <v/>
      </c>
      <c r="M37" s="157">
        <f ca="1">COUNTIF(Teams!$4:$20,A37)</f>
        <v>9</v>
      </c>
      <c r="N37" s="294">
        <f ca="1">VLOOKUP(A37,Score!B:Z,25,0)</f>
        <v>171.03429230060215</v>
      </c>
    </row>
    <row r="38" spans="1:14">
      <c r="A38" s="315" t="s">
        <v>87</v>
      </c>
      <c r="B38" s="314">
        <f t="shared" ca="1" si="3"/>
        <v>9</v>
      </c>
      <c r="C38" s="314" t="str">
        <f t="shared" ca="1" si="3"/>
        <v/>
      </c>
      <c r="D38" s="314">
        <f t="shared" ca="1" si="3"/>
        <v>9</v>
      </c>
      <c r="E38" s="314">
        <f t="shared" ca="1" si="3"/>
        <v>9</v>
      </c>
      <c r="F38" s="314">
        <f t="shared" ca="1" si="3"/>
        <v>9</v>
      </c>
      <c r="G38" s="314">
        <f t="shared" ca="1" si="3"/>
        <v>9</v>
      </c>
      <c r="H38" s="314">
        <f t="shared" ca="1" si="3"/>
        <v>9</v>
      </c>
      <c r="I38" s="314">
        <f t="shared" ca="1" si="3"/>
        <v>9</v>
      </c>
      <c r="J38" s="314" t="str">
        <f t="shared" ca="1" si="3"/>
        <v/>
      </c>
      <c r="K38" s="314">
        <f t="shared" ca="1" si="3"/>
        <v>9</v>
      </c>
      <c r="L38" s="314">
        <f t="shared" ca="1" si="3"/>
        <v>9</v>
      </c>
      <c r="M38" s="157">
        <f ca="1">COUNTIF(Teams!$4:$20,A38)</f>
        <v>9</v>
      </c>
      <c r="N38" s="294">
        <f ca="1">VLOOKUP(A38,Score!B:Z,25,0)</f>
        <v>15.088807891585148</v>
      </c>
    </row>
    <row r="39" spans="1:14">
      <c r="A39" s="316" t="s">
        <v>68</v>
      </c>
      <c r="B39" s="317">
        <f t="shared" ca="1" si="3"/>
        <v>9</v>
      </c>
      <c r="C39" s="317">
        <f t="shared" ca="1" si="3"/>
        <v>9</v>
      </c>
      <c r="D39" s="317">
        <f t="shared" ca="1" si="3"/>
        <v>9</v>
      </c>
      <c r="E39" s="317">
        <f t="shared" ca="1" si="3"/>
        <v>9</v>
      </c>
      <c r="F39" s="317">
        <f t="shared" ca="1" si="3"/>
        <v>9</v>
      </c>
      <c r="G39" s="317">
        <f t="shared" ca="1" si="3"/>
        <v>9</v>
      </c>
      <c r="H39" s="317">
        <f t="shared" ca="1" si="3"/>
        <v>9</v>
      </c>
      <c r="I39" s="317" t="str">
        <f t="shared" ca="1" si="3"/>
        <v/>
      </c>
      <c r="J39" s="317">
        <f t="shared" ca="1" si="3"/>
        <v>9</v>
      </c>
      <c r="K39" s="317">
        <f t="shared" ca="1" si="3"/>
        <v>9</v>
      </c>
      <c r="L39" s="129" t="str">
        <f t="shared" ca="1" si="3"/>
        <v/>
      </c>
      <c r="M39" s="157">
        <f ca="1">COUNTIF(Teams!$4:$20,A39)</f>
        <v>9</v>
      </c>
      <c r="N39" s="294">
        <f ca="1">VLOOKUP(A39,Score!B:Z,25,0)</f>
        <v>44.049657256064187</v>
      </c>
    </row>
    <row r="40" spans="1:14">
      <c r="A40" s="213" t="s">
        <v>103</v>
      </c>
      <c r="B40" s="140">
        <f t="shared" ca="1" si="3"/>
        <v>9</v>
      </c>
      <c r="C40" s="140">
        <f t="shared" ca="1" si="3"/>
        <v>9</v>
      </c>
      <c r="D40" s="140">
        <f t="shared" ca="1" si="3"/>
        <v>9</v>
      </c>
      <c r="E40" s="140">
        <f t="shared" ca="1" si="3"/>
        <v>9</v>
      </c>
      <c r="F40" s="140">
        <f t="shared" ca="1" si="3"/>
        <v>9</v>
      </c>
      <c r="G40" s="140">
        <f t="shared" ca="1" si="3"/>
        <v>9</v>
      </c>
      <c r="H40" s="140">
        <f t="shared" ca="1" si="3"/>
        <v>9</v>
      </c>
      <c r="I40" s="140">
        <f t="shared" ca="1" si="3"/>
        <v>9</v>
      </c>
      <c r="J40" s="140">
        <f t="shared" ca="1" si="3"/>
        <v>9</v>
      </c>
      <c r="K40" s="140" t="str">
        <f t="shared" ca="1" si="3"/>
        <v/>
      </c>
      <c r="L40" s="140" t="str">
        <f t="shared" ca="1" si="3"/>
        <v/>
      </c>
      <c r="M40" s="157">
        <f ca="1">COUNTIF(Teams!$4:$20,A40)</f>
        <v>9</v>
      </c>
      <c r="N40" s="294">
        <f ca="1">VLOOKUP(A40,Score!B:Z,25,0)</f>
        <v>244.02644451917828</v>
      </c>
    </row>
    <row r="41" spans="1:14">
      <c r="A41" s="211" t="s">
        <v>85</v>
      </c>
      <c r="B41" s="129">
        <f t="shared" ca="1" si="3"/>
        <v>10</v>
      </c>
      <c r="C41" s="129">
        <f t="shared" ca="1" si="3"/>
        <v>10</v>
      </c>
      <c r="D41" s="129">
        <f t="shared" ca="1" si="3"/>
        <v>10</v>
      </c>
      <c r="E41" s="129">
        <f t="shared" ca="1" si="3"/>
        <v>10</v>
      </c>
      <c r="F41" s="129">
        <f t="shared" ca="1" si="3"/>
        <v>10</v>
      </c>
      <c r="G41" s="129">
        <f t="shared" ca="1" si="3"/>
        <v>10</v>
      </c>
      <c r="H41" s="129">
        <f t="shared" ca="1" si="3"/>
        <v>10</v>
      </c>
      <c r="I41" s="129" t="str">
        <f t="shared" ca="1" si="3"/>
        <v/>
      </c>
      <c r="J41" s="129">
        <f t="shared" ca="1" si="3"/>
        <v>10</v>
      </c>
      <c r="K41" s="129">
        <f t="shared" ca="1" si="3"/>
        <v>10</v>
      </c>
      <c r="L41" s="129">
        <f t="shared" ca="1" si="3"/>
        <v>10</v>
      </c>
      <c r="M41" s="157">
        <f ca="1">COUNTIF(Teams!$4:$20,A41)</f>
        <v>10</v>
      </c>
      <c r="N41" s="294">
        <f ca="1">VLOOKUP(A41,Score!B:Z,25,0)</f>
        <v>211.04929363594169</v>
      </c>
    </row>
    <row r="42" spans="1:14">
      <c r="A42" s="213" t="s">
        <v>130</v>
      </c>
      <c r="B42" s="140">
        <f t="shared" ca="1" si="3"/>
        <v>10</v>
      </c>
      <c r="C42" s="140">
        <f t="shared" ca="1" si="3"/>
        <v>10</v>
      </c>
      <c r="D42" s="140">
        <f t="shared" ca="1" si="3"/>
        <v>10</v>
      </c>
      <c r="E42" s="140">
        <f t="shared" ca="1" si="3"/>
        <v>10</v>
      </c>
      <c r="F42" s="140">
        <f t="shared" ca="1" si="3"/>
        <v>10</v>
      </c>
      <c r="G42" s="140">
        <f t="shared" ca="1" si="3"/>
        <v>10</v>
      </c>
      <c r="H42" s="140">
        <f t="shared" ca="1" si="3"/>
        <v>10</v>
      </c>
      <c r="I42" s="140">
        <f t="shared" ca="1" si="3"/>
        <v>10</v>
      </c>
      <c r="J42" s="140">
        <f t="shared" ca="1" si="3"/>
        <v>10</v>
      </c>
      <c r="K42" s="140" t="str">
        <f t="shared" ca="1" si="3"/>
        <v/>
      </c>
      <c r="L42" s="140">
        <f t="shared" ca="1" si="3"/>
        <v>10</v>
      </c>
      <c r="M42" s="289">
        <f ca="1">COUNTIF(Teams!$4:$20,A42)</f>
        <v>10</v>
      </c>
      <c r="N42" s="294">
        <f ca="1">VLOOKUP(A42,Score!B:Z,25,0)</f>
        <v>430.09516070075659</v>
      </c>
    </row>
    <row r="43" spans="1:14">
      <c r="A43" s="139" t="s">
        <v>81</v>
      </c>
      <c r="B43" s="129">
        <f t="shared" ca="1" si="3"/>
        <v>11</v>
      </c>
      <c r="C43" s="129">
        <f t="shared" ca="1" si="3"/>
        <v>11</v>
      </c>
      <c r="D43" s="129">
        <f t="shared" ca="1" si="3"/>
        <v>11</v>
      </c>
      <c r="E43" s="129">
        <f t="shared" ca="1" si="3"/>
        <v>11</v>
      </c>
      <c r="F43" s="129">
        <f t="shared" ca="1" si="3"/>
        <v>11</v>
      </c>
      <c r="G43" s="129">
        <f t="shared" ca="1" si="3"/>
        <v>11</v>
      </c>
      <c r="H43" s="129">
        <f t="shared" ca="1" si="3"/>
        <v>11</v>
      </c>
      <c r="I43" s="129">
        <f t="shared" ca="1" si="3"/>
        <v>11</v>
      </c>
      <c r="J43" s="129">
        <f t="shared" ca="1" si="3"/>
        <v>11</v>
      </c>
      <c r="K43" s="129">
        <f t="shared" ca="1" si="3"/>
        <v>11</v>
      </c>
      <c r="L43" s="129">
        <f t="shared" ca="1" si="3"/>
        <v>11</v>
      </c>
      <c r="M43" s="157">
        <f ca="1">COUNTIF(Teams!$4:$20,A43)</f>
        <v>11</v>
      </c>
      <c r="N43" s="294">
        <f ca="1">VLOOKUP(A43,Score!B:Z,25,0)</f>
        <v>370.07018571306276</v>
      </c>
    </row>
    <row r="44" spans="1:14">
      <c r="A44" s="211" t="s">
        <v>72</v>
      </c>
      <c r="B44" s="129">
        <f t="shared" ca="1" si="3"/>
        <v>11</v>
      </c>
      <c r="C44" s="129">
        <f t="shared" ca="1" si="3"/>
        <v>11</v>
      </c>
      <c r="D44" s="129">
        <f t="shared" ca="1" si="3"/>
        <v>11</v>
      </c>
      <c r="E44" s="129">
        <f t="shared" ca="1" si="3"/>
        <v>11</v>
      </c>
      <c r="F44" s="129">
        <f t="shared" ca="1" si="3"/>
        <v>11</v>
      </c>
      <c r="G44" s="129">
        <f t="shared" ca="1" si="3"/>
        <v>11</v>
      </c>
      <c r="H44" s="129">
        <f t="shared" ca="1" si="3"/>
        <v>11</v>
      </c>
      <c r="I44" s="129">
        <f t="shared" ca="1" si="3"/>
        <v>11</v>
      </c>
      <c r="J44" s="129">
        <f t="shared" ca="1" si="3"/>
        <v>11</v>
      </c>
      <c r="K44" s="129">
        <f t="shared" ca="1" si="3"/>
        <v>11</v>
      </c>
      <c r="L44" s="129">
        <f t="shared" ca="1" si="3"/>
        <v>11</v>
      </c>
      <c r="M44" s="157">
        <f ca="1">COUNTIF(Teams!$4:$20,A44)</f>
        <v>11</v>
      </c>
      <c r="N44" s="294">
        <f ca="1">VLOOKUP(A44,Score!B:Z,25,0)</f>
        <v>569.01818839232169</v>
      </c>
    </row>
    <row r="45" spans="1:14">
      <c r="B45" s="138" t="str">
        <f t="shared" ref="B45:L45" ca="1" si="4">IF(B51&lt;&gt;17,"Onvolledig","")</f>
        <v/>
      </c>
      <c r="C45" s="138" t="str">
        <f t="shared" ca="1" si="4"/>
        <v/>
      </c>
      <c r="D45" s="138" t="str">
        <f t="shared" ca="1" si="4"/>
        <v/>
      </c>
      <c r="E45" s="138" t="str">
        <f t="shared" ca="1" si="4"/>
        <v/>
      </c>
      <c r="F45" s="138" t="str">
        <f t="shared" ca="1" si="4"/>
        <v/>
      </c>
      <c r="G45" s="138" t="str">
        <f t="shared" ca="1" si="4"/>
        <v/>
      </c>
      <c r="H45" s="138" t="str">
        <f t="shared" ca="1" si="4"/>
        <v/>
      </c>
      <c r="I45" s="138" t="str">
        <f t="shared" ca="1" si="4"/>
        <v/>
      </c>
      <c r="J45" s="138" t="str">
        <f t="shared" ca="1" si="4"/>
        <v/>
      </c>
      <c r="K45" s="138" t="str">
        <f t="shared" ca="1" si="4"/>
        <v/>
      </c>
      <c r="L45" s="138" t="str">
        <f t="shared" ca="1" si="4"/>
        <v/>
      </c>
    </row>
    <row r="46" spans="1:14">
      <c r="A46" s="10" t="s">
        <v>3</v>
      </c>
      <c r="B46" s="21">
        <f t="shared" ref="B46:L46" ca="1" si="5">SUM(B1:B44)</f>
        <v>131</v>
      </c>
      <c r="C46" s="21">
        <f t="shared" ca="1" si="5"/>
        <v>130</v>
      </c>
      <c r="D46" s="21">
        <f t="shared" ca="1" si="5"/>
        <v>130</v>
      </c>
      <c r="E46" s="21">
        <f t="shared" ca="1" si="5"/>
        <v>129</v>
      </c>
      <c r="F46" s="21">
        <f t="shared" ca="1" si="5"/>
        <v>123</v>
      </c>
      <c r="G46" s="21">
        <f t="shared" ca="1" si="5"/>
        <v>122</v>
      </c>
      <c r="H46" s="21">
        <f t="shared" ca="1" si="5"/>
        <v>116</v>
      </c>
      <c r="I46" s="21">
        <f t="shared" ca="1" si="5"/>
        <v>113</v>
      </c>
      <c r="J46" s="21">
        <f t="shared" ca="1" si="5"/>
        <v>113</v>
      </c>
      <c r="K46" s="21">
        <f t="shared" ca="1" si="5"/>
        <v>99</v>
      </c>
      <c r="L46" s="21">
        <f t="shared" ca="1" si="5"/>
        <v>97</v>
      </c>
    </row>
    <row r="47" spans="1:14">
      <c r="A47" s="10" t="s">
        <v>3</v>
      </c>
      <c r="B47" s="22">
        <f t="shared" ref="B47:L47" ca="1" si="6">B46/SUM($B46:$L46)</f>
        <v>0.10053722179585571</v>
      </c>
      <c r="C47" s="22">
        <f t="shared" ca="1" si="6"/>
        <v>9.9769762087490402E-2</v>
      </c>
      <c r="D47" s="22">
        <f t="shared" ca="1" si="6"/>
        <v>9.9769762087490402E-2</v>
      </c>
      <c r="E47" s="22">
        <f t="shared" ca="1" si="6"/>
        <v>9.9002302379125093E-2</v>
      </c>
      <c r="F47" s="22">
        <f t="shared" ca="1" si="6"/>
        <v>9.4397544128933225E-2</v>
      </c>
      <c r="G47" s="22">
        <f t="shared" ca="1" si="6"/>
        <v>9.3630084420567916E-2</v>
      </c>
      <c r="H47" s="22">
        <f t="shared" ca="1" si="6"/>
        <v>8.9025326170376048E-2</v>
      </c>
      <c r="I47" s="22">
        <f t="shared" ca="1" si="6"/>
        <v>8.6722947045280122E-2</v>
      </c>
      <c r="J47" s="22">
        <f t="shared" ca="1" si="6"/>
        <v>8.6722947045280122E-2</v>
      </c>
      <c r="K47" s="22">
        <f t="shared" ca="1" si="6"/>
        <v>7.5978511128165768E-2</v>
      </c>
      <c r="L47" s="22">
        <f t="shared" ca="1" si="6"/>
        <v>7.444359171143515E-2</v>
      </c>
    </row>
    <row r="48" spans="1:14">
      <c r="A48" s="10" t="s">
        <v>3</v>
      </c>
      <c r="B48" s="22">
        <f t="shared" ref="B48:L48" ca="1" si="7">1/(B47*$D$49)</f>
        <v>0.90423317140874393</v>
      </c>
      <c r="C48" s="22">
        <f t="shared" ca="1" si="7"/>
        <v>0.91118881118881123</v>
      </c>
      <c r="D48" s="22">
        <f t="shared" ca="1" si="7"/>
        <v>0.91118881118881123</v>
      </c>
      <c r="E48" s="22">
        <f t="shared" ca="1" si="7"/>
        <v>0.91825229034531364</v>
      </c>
      <c r="F48" s="22">
        <f t="shared" ca="1" si="7"/>
        <v>0.96304508499630459</v>
      </c>
      <c r="G48" s="22">
        <f t="shared" ca="1" si="7"/>
        <v>0.97093889716840542</v>
      </c>
      <c r="H48" s="22">
        <f t="shared" ca="1" si="7"/>
        <v>1.0211598746081505</v>
      </c>
      <c r="I48" s="22">
        <f t="shared" ca="1" si="7"/>
        <v>1.0482703137570395</v>
      </c>
      <c r="J48" s="22">
        <f t="shared" ca="1" si="7"/>
        <v>1.0482703137570395</v>
      </c>
      <c r="K48" s="22">
        <f t="shared" ca="1" si="7"/>
        <v>1.1965105601469237</v>
      </c>
      <c r="L48" s="22">
        <f t="shared" ca="1" si="7"/>
        <v>1.2211808809746953</v>
      </c>
    </row>
    <row r="49" spans="1:12">
      <c r="A49" s="20" t="s">
        <v>9</v>
      </c>
      <c r="B49" s="12"/>
      <c r="C49" s="12"/>
      <c r="D49" s="288">
        <f>COUNTA(B1:L1)</f>
        <v>11</v>
      </c>
      <c r="E49" s="12"/>
      <c r="F49" s="12"/>
      <c r="G49" s="12"/>
      <c r="H49" s="12"/>
      <c r="I49" s="288"/>
      <c r="J49" s="12"/>
      <c r="K49" s="12"/>
      <c r="L49" s="12"/>
    </row>
    <row r="50" spans="1:12">
      <c r="A50" s="11"/>
      <c r="B50" s="12"/>
      <c r="C50" s="12"/>
      <c r="D50" s="12"/>
      <c r="E50" s="12"/>
      <c r="F50" s="12"/>
      <c r="G50" s="12"/>
      <c r="H50" s="12"/>
      <c r="I50" s="12"/>
      <c r="J50" s="12"/>
      <c r="K50" s="12"/>
      <c r="L50" s="12"/>
    </row>
    <row r="51" spans="1:12">
      <c r="A51" s="11"/>
      <c r="B51" s="135">
        <f t="shared" ref="B51:L51" ca="1" si="8">COUNT(B2:B44)</f>
        <v>17</v>
      </c>
      <c r="C51" s="135">
        <f t="shared" ca="1" si="8"/>
        <v>17</v>
      </c>
      <c r="D51" s="135">
        <f t="shared" ca="1" si="8"/>
        <v>17</v>
      </c>
      <c r="E51" s="135">
        <f t="shared" ca="1" si="8"/>
        <v>17</v>
      </c>
      <c r="F51" s="135">
        <f t="shared" ca="1" si="8"/>
        <v>17</v>
      </c>
      <c r="G51" s="135">
        <f t="shared" ca="1" si="8"/>
        <v>17</v>
      </c>
      <c r="H51" s="135">
        <f t="shared" ca="1" si="8"/>
        <v>17</v>
      </c>
      <c r="I51" s="135">
        <f t="shared" ca="1" si="8"/>
        <v>17</v>
      </c>
      <c r="J51" s="135">
        <f t="shared" ca="1" si="8"/>
        <v>17</v>
      </c>
      <c r="K51" s="135">
        <f t="shared" ca="1" si="8"/>
        <v>17</v>
      </c>
      <c r="L51" s="135">
        <f t="shared" ca="1" si="8"/>
        <v>17</v>
      </c>
    </row>
    <row r="52" spans="1:12">
      <c r="A52" s="11"/>
      <c r="B52" s="12"/>
      <c r="C52" s="12"/>
      <c r="D52" s="12"/>
      <c r="E52" s="12"/>
      <c r="F52" s="12"/>
      <c r="G52" s="12"/>
      <c r="H52" s="12"/>
      <c r="I52" s="12"/>
      <c r="J52" s="12"/>
      <c r="K52" s="12"/>
      <c r="L52" s="12"/>
    </row>
    <row r="53" spans="1:12">
      <c r="A53" s="11"/>
      <c r="B53" s="39"/>
      <c r="C53" s="39"/>
      <c r="D53" s="39"/>
      <c r="E53" s="39"/>
      <c r="F53" s="39"/>
      <c r="G53" s="39"/>
      <c r="H53" s="39"/>
      <c r="I53" s="39"/>
      <c r="J53" s="39"/>
      <c r="K53" s="39"/>
      <c r="L53" s="39"/>
    </row>
    <row r="54" spans="1:12">
      <c r="A54" s="11"/>
      <c r="B54" s="12"/>
      <c r="C54" s="12"/>
      <c r="D54" s="12"/>
      <c r="E54" s="12"/>
      <c r="F54" s="12"/>
      <c r="G54" s="12"/>
      <c r="H54" s="12"/>
      <c r="I54" s="12"/>
      <c r="J54" s="12"/>
      <c r="K54" s="12"/>
      <c r="L54" s="12"/>
    </row>
    <row r="55" spans="1:12">
      <c r="A55" s="11"/>
      <c r="B55" s="12"/>
      <c r="C55" s="12"/>
      <c r="D55" s="12"/>
      <c r="E55" s="12"/>
      <c r="F55" s="12"/>
      <c r="G55" s="12"/>
      <c r="H55" s="12"/>
      <c r="I55" s="12"/>
      <c r="J55" s="12"/>
      <c r="K55" s="12"/>
      <c r="L55" s="12"/>
    </row>
    <row r="56" spans="1:12">
      <c r="A56" s="11"/>
      <c r="B56" s="12"/>
      <c r="C56" s="12"/>
      <c r="D56" s="12"/>
      <c r="E56" s="12"/>
      <c r="F56" s="12"/>
      <c r="G56" s="12"/>
      <c r="H56" s="12"/>
      <c r="I56" s="12"/>
      <c r="J56" s="12"/>
      <c r="K56" s="12"/>
      <c r="L56" s="12"/>
    </row>
    <row r="57" spans="1:12">
      <c r="A57" s="11"/>
      <c r="B57" s="12"/>
      <c r="C57" s="12"/>
      <c r="D57" s="12"/>
      <c r="E57" s="12"/>
      <c r="F57" s="12"/>
      <c r="G57" s="12"/>
      <c r="H57" s="12"/>
      <c r="I57" s="12"/>
      <c r="J57" s="12"/>
      <c r="K57" s="12"/>
      <c r="L57" s="12"/>
    </row>
    <row r="58" spans="1:12">
      <c r="A58" s="11"/>
      <c r="B58" s="12"/>
      <c r="C58" s="12"/>
      <c r="D58" s="12"/>
      <c r="E58" s="12"/>
      <c r="F58" s="12"/>
      <c r="G58" s="12"/>
      <c r="H58" s="12"/>
      <c r="I58" s="12"/>
      <c r="J58" s="12"/>
      <c r="K58" s="12"/>
      <c r="L58" s="12"/>
    </row>
    <row r="59" spans="1:12">
      <c r="A59" s="11"/>
      <c r="B59" s="12"/>
      <c r="C59" s="12"/>
      <c r="D59" s="12"/>
      <c r="E59" s="12"/>
      <c r="F59" s="12"/>
      <c r="G59" s="12"/>
      <c r="H59" s="12"/>
      <c r="I59" s="12"/>
      <c r="J59" s="12"/>
      <c r="K59" s="12"/>
      <c r="L59" s="12"/>
    </row>
    <row r="60" spans="1:12">
      <c r="A60" s="11"/>
      <c r="B60" s="12"/>
      <c r="C60" s="12"/>
      <c r="D60" s="12"/>
      <c r="E60" s="12"/>
      <c r="F60" s="12"/>
      <c r="G60" s="12"/>
      <c r="H60" s="12"/>
      <c r="I60" s="12"/>
      <c r="J60" s="12"/>
      <c r="K60" s="12"/>
      <c r="L60" s="12"/>
    </row>
    <row r="61" spans="1:12">
      <c r="A61" s="11"/>
      <c r="B61" s="12"/>
      <c r="C61" s="12"/>
      <c r="D61" s="12"/>
      <c r="E61" s="12"/>
      <c r="F61" s="12"/>
      <c r="G61" s="12"/>
      <c r="H61" s="12"/>
      <c r="I61" s="12"/>
      <c r="J61" s="12"/>
      <c r="K61" s="12"/>
      <c r="L61" s="12"/>
    </row>
    <row r="62" spans="1:12">
      <c r="A62" s="11"/>
      <c r="B62" s="12"/>
      <c r="C62" s="12"/>
      <c r="D62" s="12"/>
      <c r="E62" s="12"/>
      <c r="F62" s="12"/>
      <c r="G62" s="12"/>
      <c r="H62" s="12"/>
      <c r="I62" s="12"/>
      <c r="J62" s="12"/>
      <c r="K62" s="12"/>
      <c r="L62" s="12"/>
    </row>
    <row r="63" spans="1:12">
      <c r="A63" s="11"/>
      <c r="B63" s="12"/>
      <c r="C63" s="12"/>
      <c r="D63" s="12"/>
      <c r="E63" s="12"/>
      <c r="F63" s="12"/>
      <c r="G63" s="12"/>
      <c r="H63" s="12"/>
      <c r="I63" s="12"/>
      <c r="J63" s="12"/>
      <c r="K63" s="12"/>
      <c r="L63" s="12"/>
    </row>
    <row r="64" spans="1:12">
      <c r="A64" s="11"/>
      <c r="B64" s="12"/>
      <c r="C64" s="12"/>
      <c r="D64" s="12"/>
      <c r="E64" s="12"/>
      <c r="F64" s="12"/>
      <c r="G64" s="12"/>
      <c r="H64" s="12"/>
      <c r="I64" s="12"/>
      <c r="J64" s="12"/>
      <c r="K64" s="12"/>
      <c r="L64" s="12"/>
    </row>
    <row r="65" spans="1:12">
      <c r="A65" s="11"/>
      <c r="B65" s="12"/>
      <c r="C65" s="12"/>
      <c r="D65" s="12"/>
      <c r="E65" s="12"/>
      <c r="F65" s="12"/>
      <c r="G65" s="12"/>
      <c r="H65" s="12"/>
      <c r="I65" s="12"/>
      <c r="J65" s="12"/>
      <c r="K65" s="12"/>
      <c r="L65" s="12"/>
    </row>
    <row r="66" spans="1:12">
      <c r="A66" s="11"/>
      <c r="B66" s="12"/>
      <c r="C66" s="12"/>
      <c r="D66" s="12"/>
      <c r="E66" s="12"/>
      <c r="F66" s="12"/>
      <c r="G66" s="12"/>
      <c r="H66" s="12"/>
      <c r="I66" s="12"/>
      <c r="J66" s="12"/>
      <c r="K66" s="12"/>
      <c r="L66" s="12"/>
    </row>
    <row r="67" spans="1:12">
      <c r="A67" s="11"/>
      <c r="B67" s="12"/>
      <c r="C67" s="12"/>
      <c r="D67" s="12"/>
      <c r="E67" s="12"/>
      <c r="F67" s="12"/>
      <c r="G67" s="12"/>
      <c r="H67" s="12"/>
      <c r="I67" s="12"/>
      <c r="J67" s="12"/>
      <c r="K67" s="12"/>
      <c r="L67" s="12"/>
    </row>
    <row r="68" spans="1:12">
      <c r="A68" s="11"/>
      <c r="B68" s="12"/>
      <c r="C68" s="12"/>
      <c r="D68" s="12"/>
      <c r="E68" s="12"/>
      <c r="F68" s="12"/>
      <c r="G68" s="12"/>
      <c r="H68" s="12"/>
      <c r="I68" s="12"/>
      <c r="J68" s="12"/>
      <c r="K68" s="12"/>
      <c r="L68" s="12"/>
    </row>
    <row r="69" spans="1:12">
      <c r="A69" s="11"/>
      <c r="B69" s="12"/>
      <c r="C69" s="12"/>
      <c r="D69" s="12"/>
      <c r="E69" s="12"/>
      <c r="F69" s="12"/>
      <c r="G69" s="12"/>
      <c r="H69" s="12"/>
      <c r="I69" s="12"/>
      <c r="J69" s="12"/>
      <c r="K69" s="12"/>
      <c r="L69" s="12"/>
    </row>
    <row r="70" spans="1:12">
      <c r="A70" s="11"/>
      <c r="B70" s="12"/>
      <c r="C70" s="12"/>
      <c r="D70" s="12"/>
      <c r="E70" s="12"/>
      <c r="F70" s="12"/>
      <c r="G70" s="12"/>
      <c r="H70" s="12"/>
      <c r="I70" s="12"/>
      <c r="J70" s="12"/>
      <c r="K70" s="12"/>
      <c r="L70" s="12"/>
    </row>
    <row r="71" spans="1:12">
      <c r="A71" s="11"/>
      <c r="B71" s="12"/>
      <c r="C71" s="12"/>
      <c r="D71" s="12"/>
      <c r="E71" s="12"/>
      <c r="F71" s="12"/>
      <c r="G71" s="12"/>
      <c r="H71" s="12"/>
      <c r="I71" s="12"/>
      <c r="J71" s="12"/>
      <c r="K71" s="12"/>
      <c r="L71" s="12"/>
    </row>
    <row r="72" spans="1:12">
      <c r="A72" s="11"/>
      <c r="B72" s="12"/>
      <c r="C72" s="12"/>
      <c r="D72" s="12"/>
      <c r="E72" s="12"/>
      <c r="F72" s="12"/>
      <c r="G72" s="12"/>
      <c r="H72" s="12"/>
      <c r="I72" s="12"/>
      <c r="J72" s="12"/>
      <c r="K72" s="12"/>
      <c r="L72" s="12"/>
    </row>
    <row r="73" spans="1:12">
      <c r="A73" s="11"/>
      <c r="B73" s="12"/>
      <c r="C73" s="12"/>
      <c r="D73" s="12"/>
      <c r="E73" s="12"/>
      <c r="F73" s="12"/>
      <c r="G73" s="12"/>
      <c r="H73" s="12"/>
      <c r="I73" s="12"/>
      <c r="J73" s="12"/>
      <c r="K73" s="12"/>
      <c r="L73" s="12"/>
    </row>
    <row r="74" spans="1:12">
      <c r="A74" s="11"/>
      <c r="B74" s="12"/>
      <c r="C74" s="12"/>
      <c r="D74" s="12"/>
      <c r="E74" s="12"/>
      <c r="F74" s="12"/>
      <c r="G74" s="12"/>
      <c r="H74" s="12"/>
      <c r="I74" s="12"/>
      <c r="J74" s="12"/>
      <c r="K74" s="12"/>
      <c r="L74" s="12"/>
    </row>
    <row r="75" spans="1:12">
      <c r="A75" s="11"/>
      <c r="B75" s="12"/>
      <c r="C75" s="12"/>
      <c r="D75" s="12"/>
      <c r="E75" s="12"/>
      <c r="F75" s="12"/>
      <c r="G75" s="12"/>
      <c r="H75" s="12"/>
      <c r="I75" s="12"/>
      <c r="J75" s="12"/>
      <c r="K75" s="12"/>
      <c r="L75" s="12"/>
    </row>
    <row r="76" spans="1:12">
      <c r="A76" s="11"/>
      <c r="B76" s="12"/>
      <c r="C76" s="12"/>
      <c r="D76" s="12"/>
      <c r="E76" s="12"/>
      <c r="F76" s="12"/>
      <c r="G76" s="12"/>
      <c r="H76" s="12"/>
      <c r="I76" s="12"/>
      <c r="J76" s="12"/>
      <c r="K76" s="12"/>
      <c r="L76" s="12"/>
    </row>
    <row r="77" spans="1:12">
      <c r="A77" s="11"/>
      <c r="B77" s="12"/>
      <c r="C77" s="12"/>
      <c r="D77" s="12"/>
      <c r="E77" s="12"/>
      <c r="F77" s="12"/>
      <c r="G77" s="12"/>
      <c r="H77" s="12"/>
      <c r="I77" s="12"/>
      <c r="J77" s="12"/>
      <c r="K77" s="12"/>
      <c r="L77" s="12"/>
    </row>
    <row r="78" spans="1:12">
      <c r="A78" s="11"/>
      <c r="B78" s="12"/>
      <c r="C78" s="12"/>
      <c r="D78" s="12"/>
      <c r="E78" s="12"/>
      <c r="F78" s="12"/>
      <c r="G78" s="12"/>
      <c r="H78" s="12"/>
      <c r="I78" s="12"/>
      <c r="J78" s="12"/>
      <c r="K78" s="12"/>
      <c r="L78" s="12"/>
    </row>
    <row r="79" spans="1:12">
      <c r="A79" s="11"/>
      <c r="B79" s="12"/>
      <c r="C79" s="12"/>
      <c r="D79" s="12"/>
      <c r="E79" s="12"/>
      <c r="F79" s="12"/>
      <c r="G79" s="12"/>
      <c r="H79" s="12"/>
      <c r="I79" s="12"/>
      <c r="J79" s="12"/>
      <c r="K79" s="12"/>
      <c r="L79" s="12"/>
    </row>
    <row r="80" spans="1:12">
      <c r="A80" s="11"/>
      <c r="B80" s="12"/>
      <c r="C80" s="12"/>
      <c r="D80" s="12"/>
      <c r="E80" s="12"/>
      <c r="F80" s="12"/>
      <c r="G80" s="12"/>
      <c r="H80" s="12"/>
      <c r="I80" s="12"/>
      <c r="J80" s="12"/>
      <c r="K80" s="12"/>
      <c r="L80" s="12"/>
    </row>
    <row r="81" spans="1:12">
      <c r="A81" s="11"/>
      <c r="B81" s="12"/>
      <c r="C81" s="12"/>
      <c r="D81" s="12"/>
      <c r="E81" s="12"/>
      <c r="F81" s="12"/>
      <c r="G81" s="12"/>
      <c r="H81" s="12"/>
      <c r="I81" s="12"/>
      <c r="J81" s="12"/>
      <c r="K81" s="12"/>
      <c r="L81" s="12"/>
    </row>
    <row r="82" spans="1:12">
      <c r="A82" s="11"/>
      <c r="B82" s="12"/>
      <c r="C82" s="12"/>
      <c r="D82" s="12"/>
      <c r="E82" s="12"/>
      <c r="F82" s="12"/>
      <c r="G82" s="12"/>
      <c r="H82" s="12"/>
      <c r="I82" s="12"/>
      <c r="J82" s="12"/>
      <c r="K82" s="12"/>
      <c r="L82" s="12"/>
    </row>
    <row r="83" spans="1:12">
      <c r="A83" s="11"/>
      <c r="B83" s="12"/>
      <c r="C83" s="12"/>
      <c r="D83" s="12"/>
      <c r="E83" s="12"/>
      <c r="F83" s="12"/>
      <c r="G83" s="12"/>
      <c r="H83" s="12"/>
      <c r="I83" s="12"/>
      <c r="J83" s="12"/>
      <c r="K83" s="12"/>
      <c r="L83" s="12"/>
    </row>
    <row r="84" spans="1:12">
      <c r="A84" s="11"/>
      <c r="B84" s="12"/>
      <c r="C84" s="12"/>
      <c r="D84" s="12"/>
      <c r="E84" s="12"/>
      <c r="F84" s="12"/>
      <c r="G84" s="12"/>
      <c r="H84" s="12"/>
      <c r="I84" s="12"/>
      <c r="J84" s="12"/>
      <c r="K84" s="12"/>
      <c r="L84" s="12"/>
    </row>
    <row r="85" spans="1:12">
      <c r="A85" s="11"/>
      <c r="B85" s="12"/>
      <c r="C85" s="12"/>
      <c r="D85" s="12"/>
      <c r="E85" s="12"/>
      <c r="F85" s="12"/>
      <c r="G85" s="12"/>
      <c r="H85" s="12"/>
      <c r="I85" s="12"/>
      <c r="J85" s="12"/>
      <c r="K85" s="12"/>
      <c r="L85" s="12"/>
    </row>
    <row r="86" spans="1:12">
      <c r="A86" s="11"/>
      <c r="B86" s="12"/>
      <c r="C86" s="12"/>
      <c r="D86" s="12"/>
      <c r="E86" s="12"/>
      <c r="F86" s="12"/>
      <c r="G86" s="12"/>
      <c r="H86" s="12"/>
      <c r="I86" s="12"/>
      <c r="J86" s="12"/>
      <c r="K86" s="12"/>
      <c r="L86" s="12"/>
    </row>
    <row r="87" spans="1:12">
      <c r="A87" s="11"/>
      <c r="B87" s="12"/>
      <c r="C87" s="12"/>
      <c r="D87" s="12"/>
      <c r="E87" s="12"/>
      <c r="F87" s="12"/>
      <c r="G87" s="12"/>
      <c r="H87" s="12"/>
      <c r="I87" s="12"/>
      <c r="J87" s="12"/>
      <c r="K87" s="12"/>
      <c r="L87" s="12"/>
    </row>
    <row r="88" spans="1:12">
      <c r="A88" s="11"/>
      <c r="B88" s="12"/>
      <c r="C88" s="12"/>
      <c r="D88" s="12"/>
      <c r="E88" s="12"/>
      <c r="F88" s="12"/>
      <c r="G88" s="12"/>
      <c r="H88" s="12"/>
      <c r="I88" s="12"/>
      <c r="J88" s="12"/>
      <c r="K88" s="12"/>
      <c r="L88" s="12"/>
    </row>
    <row r="89" spans="1:12">
      <c r="A89" s="11"/>
      <c r="B89" s="12"/>
      <c r="C89" s="12"/>
      <c r="D89" s="12"/>
      <c r="E89" s="12"/>
      <c r="F89" s="12"/>
      <c r="G89" s="12"/>
      <c r="H89" s="12"/>
      <c r="I89" s="12"/>
      <c r="J89" s="12"/>
      <c r="K89" s="12"/>
      <c r="L89" s="12"/>
    </row>
    <row r="90" spans="1:12">
      <c r="A90" s="11"/>
      <c r="B90" s="12"/>
      <c r="C90" s="12"/>
      <c r="D90" s="12"/>
      <c r="E90" s="12"/>
      <c r="F90" s="12"/>
      <c r="G90" s="12"/>
      <c r="H90" s="12"/>
      <c r="I90" s="12"/>
      <c r="J90" s="12"/>
      <c r="K90" s="12"/>
      <c r="L90" s="12"/>
    </row>
    <row r="91" spans="1:12">
      <c r="A91" s="11"/>
      <c r="B91" s="12"/>
      <c r="C91" s="12"/>
      <c r="D91" s="12"/>
      <c r="E91" s="12"/>
      <c r="F91" s="12"/>
      <c r="G91" s="12"/>
      <c r="H91" s="12"/>
      <c r="I91" s="12"/>
      <c r="J91" s="12"/>
      <c r="K91" s="12"/>
      <c r="L91" s="12"/>
    </row>
    <row r="92" spans="1:12">
      <c r="A92" s="11"/>
      <c r="B92" s="12"/>
      <c r="C92" s="12"/>
      <c r="D92" s="12"/>
      <c r="E92" s="12"/>
      <c r="F92" s="12"/>
      <c r="G92" s="12"/>
      <c r="H92" s="12"/>
      <c r="I92" s="12"/>
      <c r="J92" s="12"/>
      <c r="K92" s="12"/>
      <c r="L92" s="12"/>
    </row>
    <row r="93" spans="1:12">
      <c r="A93" s="11"/>
      <c r="B93" s="12"/>
      <c r="C93" s="12"/>
      <c r="D93" s="12"/>
      <c r="E93" s="12"/>
      <c r="F93" s="12"/>
      <c r="G93" s="12"/>
      <c r="H93" s="12"/>
      <c r="I93" s="12"/>
      <c r="J93" s="12"/>
      <c r="K93" s="12"/>
      <c r="L93" s="12"/>
    </row>
    <row r="94" spans="1:12">
      <c r="A94" s="11"/>
      <c r="B94" s="12"/>
      <c r="C94" s="12"/>
      <c r="D94" s="12"/>
      <c r="E94" s="12"/>
      <c r="F94" s="12"/>
      <c r="G94" s="12"/>
      <c r="H94" s="12"/>
      <c r="I94" s="12"/>
      <c r="J94" s="12"/>
      <c r="K94" s="12"/>
      <c r="L94" s="12"/>
    </row>
    <row r="95" spans="1:12">
      <c r="A95" s="11"/>
      <c r="B95" s="12"/>
      <c r="C95" s="12"/>
      <c r="D95" s="12"/>
      <c r="E95" s="12"/>
      <c r="F95" s="12"/>
      <c r="G95" s="12"/>
      <c r="H95" s="12"/>
      <c r="I95" s="12"/>
      <c r="J95" s="12"/>
      <c r="K95" s="12"/>
      <c r="L95" s="12"/>
    </row>
    <row r="96" spans="1:12">
      <c r="A96" s="11"/>
      <c r="B96" s="12"/>
      <c r="C96" s="12"/>
      <c r="D96" s="12"/>
      <c r="E96" s="12"/>
      <c r="F96" s="12"/>
      <c r="G96" s="12"/>
      <c r="H96" s="12"/>
      <c r="I96" s="12"/>
      <c r="J96" s="12"/>
      <c r="K96" s="12"/>
      <c r="L96" s="12"/>
    </row>
    <row r="97" spans="1:12">
      <c r="A97" s="11"/>
      <c r="B97" s="12"/>
      <c r="C97" s="12"/>
      <c r="D97" s="12"/>
      <c r="E97" s="12"/>
      <c r="F97" s="12"/>
      <c r="G97" s="12"/>
      <c r="H97" s="12"/>
      <c r="I97" s="12"/>
      <c r="J97" s="12"/>
      <c r="K97" s="12"/>
      <c r="L97" s="12"/>
    </row>
    <row r="98" spans="1:12">
      <c r="A98" s="11"/>
      <c r="B98" s="12"/>
      <c r="C98" s="12"/>
      <c r="D98" s="12"/>
      <c r="E98" s="12"/>
      <c r="F98" s="12"/>
      <c r="G98" s="12"/>
      <c r="H98" s="12"/>
      <c r="I98" s="12"/>
      <c r="J98" s="12"/>
      <c r="K98" s="12"/>
      <c r="L98" s="12"/>
    </row>
    <row r="99" spans="1:12">
      <c r="A99" s="11"/>
      <c r="B99" s="12"/>
      <c r="C99" s="12"/>
      <c r="D99" s="12"/>
      <c r="E99" s="12"/>
      <c r="F99" s="12"/>
      <c r="G99" s="12"/>
      <c r="H99" s="12"/>
      <c r="I99" s="12"/>
      <c r="J99" s="12"/>
      <c r="K99" s="12"/>
      <c r="L99" s="12"/>
    </row>
    <row r="100" spans="1:12">
      <c r="A100" s="11"/>
      <c r="B100" s="12"/>
      <c r="C100" s="12"/>
      <c r="D100" s="12"/>
      <c r="E100" s="12"/>
      <c r="F100" s="12"/>
      <c r="G100" s="12"/>
      <c r="H100" s="12"/>
      <c r="I100" s="12"/>
      <c r="J100" s="12"/>
      <c r="K100" s="12"/>
      <c r="L100" s="12"/>
    </row>
    <row r="101" spans="1:12">
      <c r="A101" s="11"/>
      <c r="B101" s="12"/>
      <c r="C101" s="12"/>
      <c r="D101" s="12"/>
      <c r="E101" s="12"/>
      <c r="F101" s="12"/>
      <c r="G101" s="12"/>
      <c r="H101" s="12"/>
      <c r="I101" s="12"/>
      <c r="J101" s="12"/>
      <c r="K101" s="12"/>
      <c r="L101" s="12"/>
    </row>
    <row r="102" spans="1:12">
      <c r="A102" s="11"/>
      <c r="B102" s="12"/>
      <c r="C102" s="12"/>
      <c r="D102" s="12"/>
      <c r="E102" s="12"/>
      <c r="F102" s="12"/>
      <c r="G102" s="12"/>
      <c r="H102" s="12"/>
      <c r="I102" s="12"/>
      <c r="J102" s="12"/>
      <c r="K102" s="12"/>
      <c r="L102" s="12"/>
    </row>
    <row r="103" spans="1:12">
      <c r="A103" s="11"/>
      <c r="B103" s="12"/>
      <c r="C103" s="12"/>
      <c r="D103" s="12"/>
      <c r="E103" s="12"/>
      <c r="F103" s="12"/>
      <c r="G103" s="12"/>
      <c r="H103" s="12"/>
      <c r="I103" s="12"/>
      <c r="J103" s="12"/>
      <c r="K103" s="12"/>
      <c r="L103" s="12"/>
    </row>
    <row r="104" spans="1:12">
      <c r="A104" s="11"/>
      <c r="B104" s="12"/>
      <c r="C104" s="12"/>
      <c r="D104" s="12"/>
      <c r="E104" s="12"/>
      <c r="F104" s="12"/>
      <c r="G104" s="12"/>
      <c r="H104" s="12"/>
      <c r="I104" s="12"/>
      <c r="J104" s="12"/>
      <c r="K104" s="12"/>
      <c r="L104" s="12"/>
    </row>
    <row r="105" spans="1:12">
      <c r="A105" s="11"/>
      <c r="B105" s="12"/>
      <c r="C105" s="12"/>
      <c r="D105" s="12"/>
      <c r="E105" s="12"/>
      <c r="F105" s="12"/>
      <c r="G105" s="12"/>
      <c r="H105" s="12"/>
      <c r="I105" s="12"/>
      <c r="J105" s="12"/>
      <c r="K105" s="12"/>
      <c r="L105" s="12"/>
    </row>
    <row r="106" spans="1:12">
      <c r="A106" s="11"/>
      <c r="B106" s="12"/>
      <c r="C106" s="12"/>
      <c r="D106" s="12"/>
      <c r="E106" s="12"/>
      <c r="F106" s="12"/>
      <c r="G106" s="12"/>
      <c r="H106" s="12"/>
      <c r="I106" s="12"/>
      <c r="J106" s="12"/>
      <c r="K106" s="12"/>
      <c r="L106" s="12"/>
    </row>
    <row r="107" spans="1:12">
      <c r="A107" s="11"/>
      <c r="B107" s="12"/>
      <c r="C107" s="12"/>
      <c r="D107" s="12"/>
      <c r="E107" s="12"/>
      <c r="F107" s="12"/>
      <c r="G107" s="12"/>
      <c r="H107" s="12"/>
      <c r="I107" s="12"/>
      <c r="J107" s="12"/>
      <c r="K107" s="12"/>
      <c r="L107" s="12"/>
    </row>
    <row r="108" spans="1:12">
      <c r="A108" s="11"/>
      <c r="B108" s="12"/>
      <c r="C108" s="12"/>
      <c r="D108" s="12"/>
      <c r="E108" s="12"/>
      <c r="F108" s="12"/>
      <c r="G108" s="12"/>
      <c r="H108" s="12"/>
      <c r="I108" s="12"/>
      <c r="J108" s="12"/>
      <c r="K108" s="12"/>
      <c r="L108" s="12"/>
    </row>
    <row r="109" spans="1:12">
      <c r="A109" s="11"/>
      <c r="B109" s="12"/>
      <c r="C109" s="12"/>
      <c r="D109" s="12"/>
      <c r="E109" s="12"/>
      <c r="F109" s="12"/>
      <c r="G109" s="12"/>
      <c r="H109" s="12"/>
      <c r="I109" s="12"/>
      <c r="J109" s="12"/>
      <c r="K109" s="12"/>
      <c r="L109" s="12"/>
    </row>
    <row r="110" spans="1:12">
      <c r="A110" s="11"/>
      <c r="B110" s="12"/>
      <c r="C110" s="12"/>
      <c r="D110" s="12"/>
      <c r="E110" s="12"/>
      <c r="F110" s="12"/>
      <c r="G110" s="12"/>
      <c r="H110" s="12"/>
      <c r="I110" s="12"/>
      <c r="J110" s="12"/>
      <c r="K110" s="12"/>
      <c r="L110" s="12"/>
    </row>
    <row r="111" spans="1:12">
      <c r="A111" s="11"/>
      <c r="B111" s="12"/>
      <c r="C111" s="12"/>
      <c r="D111" s="12"/>
      <c r="E111" s="12"/>
      <c r="F111" s="12"/>
      <c r="G111" s="12"/>
      <c r="H111" s="12"/>
      <c r="I111" s="12"/>
      <c r="J111" s="12"/>
      <c r="K111" s="12"/>
      <c r="L111" s="12"/>
    </row>
    <row r="112" spans="1:12">
      <c r="A112" s="11"/>
      <c r="B112" s="12"/>
      <c r="C112" s="12"/>
      <c r="D112" s="12"/>
      <c r="E112" s="12"/>
      <c r="F112" s="12"/>
      <c r="G112" s="12"/>
      <c r="H112" s="12"/>
      <c r="I112" s="12"/>
      <c r="J112" s="12"/>
      <c r="K112" s="12"/>
      <c r="L112" s="12"/>
    </row>
    <row r="113" spans="1:12">
      <c r="A113" s="11"/>
      <c r="B113" s="12"/>
      <c r="C113" s="12"/>
      <c r="D113" s="12"/>
      <c r="E113" s="12"/>
      <c r="F113" s="12"/>
      <c r="G113" s="12"/>
      <c r="H113" s="12"/>
      <c r="I113" s="12"/>
      <c r="J113" s="12"/>
      <c r="K113" s="12"/>
      <c r="L113" s="12"/>
    </row>
    <row r="114" spans="1:12">
      <c r="A114" s="11"/>
      <c r="B114" s="12"/>
      <c r="C114" s="12"/>
      <c r="D114" s="12"/>
      <c r="E114" s="12"/>
      <c r="F114" s="12"/>
      <c r="G114" s="12"/>
      <c r="H114" s="12"/>
      <c r="I114" s="12"/>
      <c r="J114" s="12"/>
      <c r="K114" s="12"/>
      <c r="L114" s="12"/>
    </row>
    <row r="115" spans="1:12">
      <c r="A115" s="11"/>
      <c r="B115" s="12"/>
      <c r="C115" s="12"/>
      <c r="D115" s="12"/>
      <c r="E115" s="12"/>
      <c r="F115" s="12"/>
      <c r="G115" s="12"/>
      <c r="H115" s="12"/>
      <c r="I115" s="12"/>
      <c r="J115" s="12"/>
      <c r="K115" s="12"/>
      <c r="L115" s="12"/>
    </row>
    <row r="116" spans="1:12">
      <c r="A116" s="11"/>
      <c r="B116" s="12"/>
      <c r="C116" s="12"/>
      <c r="D116" s="12"/>
      <c r="E116" s="12"/>
      <c r="F116" s="12"/>
      <c r="G116" s="12"/>
      <c r="H116" s="12"/>
      <c r="I116" s="12"/>
      <c r="J116" s="12"/>
      <c r="K116" s="12"/>
      <c r="L116" s="12"/>
    </row>
    <row r="117" spans="1:12">
      <c r="A117" s="11"/>
      <c r="B117" s="12"/>
      <c r="C117" s="12"/>
      <c r="D117" s="12"/>
      <c r="E117" s="12"/>
      <c r="F117" s="12"/>
      <c r="G117" s="12"/>
      <c r="H117" s="12"/>
      <c r="I117" s="12"/>
      <c r="J117" s="12"/>
      <c r="K117" s="12"/>
      <c r="L117" s="12"/>
    </row>
    <row r="118" spans="1:12">
      <c r="A118" s="11"/>
      <c r="B118" s="12"/>
      <c r="C118" s="12"/>
      <c r="D118" s="12"/>
      <c r="E118" s="12"/>
      <c r="F118" s="12"/>
      <c r="G118" s="12"/>
      <c r="H118" s="12"/>
      <c r="I118" s="12"/>
      <c r="J118" s="12"/>
      <c r="K118" s="12"/>
      <c r="L118" s="12"/>
    </row>
    <row r="119" spans="1:12">
      <c r="A119" s="11"/>
      <c r="B119" s="12"/>
      <c r="C119" s="12"/>
      <c r="D119" s="12"/>
      <c r="E119" s="12"/>
      <c r="F119" s="12"/>
      <c r="G119" s="12"/>
      <c r="H119" s="12"/>
      <c r="I119" s="12"/>
      <c r="J119" s="12"/>
      <c r="K119" s="12"/>
      <c r="L119" s="12"/>
    </row>
    <row r="120" spans="1:12">
      <c r="A120" s="11"/>
      <c r="B120" s="12"/>
      <c r="C120" s="12"/>
      <c r="D120" s="12"/>
      <c r="E120" s="12"/>
      <c r="F120" s="12"/>
      <c r="G120" s="12"/>
      <c r="H120" s="12"/>
      <c r="I120" s="12"/>
      <c r="J120" s="12"/>
      <c r="K120" s="12"/>
      <c r="L120" s="12"/>
    </row>
    <row r="121" spans="1:12">
      <c r="A121" s="11"/>
      <c r="B121" s="12"/>
      <c r="C121" s="12"/>
      <c r="D121" s="12"/>
      <c r="E121" s="12"/>
      <c r="F121" s="12"/>
      <c r="G121" s="12"/>
      <c r="H121" s="12"/>
      <c r="I121" s="12"/>
      <c r="J121" s="12"/>
      <c r="K121" s="12"/>
      <c r="L121" s="12"/>
    </row>
    <row r="122" spans="1:12">
      <c r="A122" s="11"/>
      <c r="B122" s="12"/>
      <c r="C122" s="12"/>
      <c r="D122" s="12"/>
      <c r="E122" s="12"/>
      <c r="F122" s="12"/>
      <c r="G122" s="12"/>
      <c r="H122" s="12"/>
      <c r="I122" s="12"/>
      <c r="J122" s="12"/>
      <c r="K122" s="12"/>
      <c r="L122" s="12"/>
    </row>
    <row r="123" spans="1:12">
      <c r="A123" s="11"/>
      <c r="B123" s="12"/>
      <c r="C123" s="12"/>
      <c r="D123" s="12"/>
      <c r="E123" s="12"/>
      <c r="F123" s="12"/>
      <c r="G123" s="12"/>
      <c r="H123" s="12"/>
      <c r="I123" s="12"/>
      <c r="J123" s="12"/>
      <c r="K123" s="12"/>
      <c r="L123" s="12"/>
    </row>
    <row r="124" spans="1:12">
      <c r="A124" s="11"/>
      <c r="B124" s="12"/>
      <c r="C124" s="12"/>
      <c r="D124" s="12"/>
      <c r="E124" s="12"/>
      <c r="F124" s="12"/>
      <c r="G124" s="12"/>
      <c r="H124" s="12"/>
      <c r="I124" s="12"/>
      <c r="J124" s="12"/>
      <c r="K124" s="12"/>
      <c r="L124" s="12"/>
    </row>
    <row r="125" spans="1:12">
      <c r="A125" s="11"/>
      <c r="B125" s="12"/>
      <c r="C125" s="12"/>
      <c r="D125" s="12"/>
      <c r="E125" s="12"/>
      <c r="F125" s="12"/>
      <c r="G125" s="12"/>
      <c r="H125" s="12"/>
      <c r="I125" s="12"/>
      <c r="J125" s="12"/>
      <c r="K125" s="12"/>
      <c r="L125" s="12"/>
    </row>
    <row r="126" spans="1:12">
      <c r="A126" s="11"/>
      <c r="B126" s="12"/>
      <c r="C126" s="12"/>
      <c r="D126" s="12"/>
      <c r="E126" s="12"/>
      <c r="F126" s="12"/>
      <c r="G126" s="12"/>
      <c r="H126" s="12"/>
      <c r="I126" s="12"/>
      <c r="J126" s="12"/>
      <c r="K126" s="12"/>
      <c r="L126" s="12"/>
    </row>
    <row r="127" spans="1:12">
      <c r="A127" s="11"/>
      <c r="B127" s="12"/>
      <c r="C127" s="12"/>
      <c r="D127" s="12"/>
      <c r="E127" s="12"/>
      <c r="F127" s="12"/>
      <c r="G127" s="12"/>
      <c r="H127" s="12"/>
      <c r="I127" s="12"/>
      <c r="J127" s="12"/>
      <c r="K127" s="12"/>
      <c r="L127" s="12"/>
    </row>
    <row r="128" spans="1:12">
      <c r="A128" s="11"/>
      <c r="B128" s="12"/>
      <c r="C128" s="12"/>
      <c r="D128" s="12"/>
      <c r="E128" s="12"/>
      <c r="F128" s="12"/>
      <c r="G128" s="12"/>
      <c r="H128" s="12"/>
      <c r="I128" s="12"/>
      <c r="J128" s="12"/>
      <c r="K128" s="12"/>
      <c r="L128" s="12"/>
    </row>
    <row r="129" spans="1:12">
      <c r="A129" s="11"/>
      <c r="B129" s="12"/>
      <c r="C129" s="12"/>
      <c r="D129" s="12"/>
      <c r="E129" s="12"/>
      <c r="F129" s="12"/>
      <c r="G129" s="12"/>
      <c r="H129" s="12"/>
      <c r="I129" s="12"/>
      <c r="J129" s="12"/>
      <c r="K129" s="12"/>
      <c r="L129" s="12"/>
    </row>
    <row r="130" spans="1:12">
      <c r="A130" s="11"/>
      <c r="B130" s="12"/>
      <c r="C130" s="12"/>
      <c r="D130" s="12"/>
      <c r="E130" s="12"/>
      <c r="F130" s="12"/>
      <c r="G130" s="12"/>
      <c r="H130" s="12"/>
      <c r="I130" s="12"/>
      <c r="J130" s="12"/>
      <c r="K130" s="12"/>
      <c r="L130" s="12"/>
    </row>
    <row r="131" spans="1:12">
      <c r="A131" s="11"/>
      <c r="B131" s="12"/>
      <c r="C131" s="12"/>
      <c r="D131" s="12"/>
      <c r="E131" s="12"/>
      <c r="F131" s="12"/>
      <c r="G131" s="12"/>
      <c r="H131" s="12"/>
      <c r="I131" s="12"/>
      <c r="J131" s="12"/>
      <c r="K131" s="12"/>
      <c r="L131" s="12"/>
    </row>
    <row r="132" spans="1:12">
      <c r="A132" s="11"/>
      <c r="B132" s="12"/>
      <c r="C132" s="12"/>
      <c r="D132" s="12"/>
      <c r="E132" s="12"/>
      <c r="F132" s="12"/>
      <c r="G132" s="12"/>
      <c r="H132" s="12"/>
      <c r="I132" s="12"/>
      <c r="J132" s="12"/>
      <c r="K132" s="12"/>
      <c r="L132" s="12"/>
    </row>
    <row r="133" spans="1:12">
      <c r="A133" s="11"/>
      <c r="B133" s="12"/>
      <c r="C133" s="12"/>
      <c r="D133" s="12"/>
      <c r="E133" s="12"/>
      <c r="F133" s="12"/>
      <c r="G133" s="12"/>
      <c r="H133" s="12"/>
      <c r="I133" s="12"/>
      <c r="J133" s="12"/>
      <c r="K133" s="12"/>
      <c r="L133" s="12"/>
    </row>
    <row r="134" spans="1:12">
      <c r="A134" s="11"/>
      <c r="B134" s="12"/>
      <c r="C134" s="12"/>
      <c r="D134" s="12"/>
      <c r="E134" s="12"/>
      <c r="F134" s="12"/>
      <c r="G134" s="12"/>
      <c r="H134" s="12"/>
      <c r="I134" s="12"/>
      <c r="J134" s="12"/>
      <c r="K134" s="12"/>
      <c r="L134" s="12"/>
    </row>
    <row r="135" spans="1:12">
      <c r="A135" s="11"/>
      <c r="B135" s="12"/>
      <c r="C135" s="12"/>
      <c r="D135" s="12"/>
      <c r="E135" s="12"/>
      <c r="F135" s="12"/>
      <c r="G135" s="12"/>
      <c r="H135" s="12"/>
      <c r="I135" s="12"/>
      <c r="J135" s="12"/>
      <c r="K135" s="12"/>
      <c r="L135" s="12"/>
    </row>
    <row r="136" spans="1:12">
      <c r="A136" s="11"/>
      <c r="B136" s="12"/>
      <c r="C136" s="12"/>
      <c r="D136" s="12"/>
      <c r="E136" s="12"/>
      <c r="F136" s="12"/>
      <c r="G136" s="12"/>
      <c r="H136" s="12"/>
      <c r="I136" s="12"/>
      <c r="J136" s="12"/>
      <c r="K136" s="12"/>
      <c r="L136" s="12"/>
    </row>
    <row r="137" spans="1:12">
      <c r="A137" s="11"/>
      <c r="B137" s="12"/>
      <c r="C137" s="12"/>
      <c r="D137" s="12"/>
      <c r="E137" s="12"/>
      <c r="F137" s="12"/>
      <c r="G137" s="12"/>
      <c r="H137" s="12"/>
      <c r="I137" s="12"/>
      <c r="J137" s="12"/>
      <c r="K137" s="12"/>
      <c r="L137" s="12"/>
    </row>
    <row r="138" spans="1:12">
      <c r="A138" s="11"/>
      <c r="B138" s="12"/>
      <c r="C138" s="12"/>
      <c r="D138" s="12"/>
      <c r="E138" s="12"/>
      <c r="F138" s="12"/>
      <c r="G138" s="12"/>
      <c r="H138" s="12"/>
      <c r="I138" s="12"/>
      <c r="J138" s="12"/>
      <c r="K138" s="12"/>
      <c r="L138" s="12"/>
    </row>
    <row r="139" spans="1:12">
      <c r="A139" s="11"/>
      <c r="B139" s="12"/>
      <c r="C139" s="12"/>
      <c r="D139" s="12"/>
      <c r="E139" s="12"/>
      <c r="F139" s="12"/>
      <c r="G139" s="12"/>
      <c r="H139" s="12"/>
      <c r="I139" s="12"/>
      <c r="J139" s="12"/>
      <c r="K139" s="12"/>
      <c r="L139" s="12"/>
    </row>
    <row r="140" spans="1:12">
      <c r="A140" s="11"/>
      <c r="B140" s="12"/>
      <c r="C140" s="12"/>
      <c r="D140" s="12"/>
      <c r="E140" s="12"/>
      <c r="F140" s="12"/>
      <c r="G140" s="12"/>
      <c r="H140" s="12"/>
      <c r="I140" s="12"/>
      <c r="J140" s="12"/>
      <c r="K140" s="12"/>
      <c r="L140" s="12"/>
    </row>
    <row r="141" spans="1:12">
      <c r="A141" s="11"/>
      <c r="B141" s="12"/>
      <c r="C141" s="12"/>
      <c r="D141" s="12"/>
      <c r="E141" s="12"/>
      <c r="F141" s="12"/>
      <c r="G141" s="12"/>
      <c r="H141" s="12"/>
      <c r="I141" s="12"/>
      <c r="J141" s="12"/>
      <c r="K141" s="12"/>
      <c r="L141" s="12"/>
    </row>
    <row r="142" spans="1:12">
      <c r="A142" s="11"/>
      <c r="B142" s="12"/>
      <c r="C142" s="12"/>
      <c r="D142" s="12"/>
      <c r="E142" s="12"/>
      <c r="F142" s="12"/>
      <c r="G142" s="12"/>
      <c r="H142" s="12"/>
      <c r="I142" s="12"/>
      <c r="J142" s="12"/>
      <c r="K142" s="12"/>
      <c r="L142" s="12"/>
    </row>
    <row r="143" spans="1:12">
      <c r="A143" s="11"/>
      <c r="B143" s="12"/>
      <c r="C143" s="12"/>
      <c r="D143" s="12"/>
      <c r="E143" s="12"/>
      <c r="F143" s="12"/>
      <c r="G143" s="12"/>
      <c r="H143" s="12"/>
      <c r="I143" s="12"/>
      <c r="J143" s="12"/>
      <c r="K143" s="12"/>
      <c r="L143" s="12"/>
    </row>
    <row r="144" spans="1:12">
      <c r="A144" s="11"/>
      <c r="B144" s="12"/>
      <c r="C144" s="12"/>
      <c r="D144" s="12"/>
      <c r="E144" s="12"/>
      <c r="F144" s="12"/>
      <c r="G144" s="12"/>
      <c r="H144" s="12"/>
      <c r="I144" s="12"/>
      <c r="J144" s="12"/>
      <c r="K144" s="12"/>
      <c r="L144" s="12"/>
    </row>
    <row r="145" spans="1:12">
      <c r="A145" s="11"/>
      <c r="B145" s="12"/>
      <c r="C145" s="12"/>
      <c r="D145" s="12"/>
      <c r="E145" s="12"/>
      <c r="F145" s="12"/>
      <c r="G145" s="12"/>
      <c r="H145" s="12"/>
      <c r="I145" s="12"/>
      <c r="J145" s="12"/>
      <c r="K145" s="12"/>
      <c r="L145" s="12"/>
    </row>
    <row r="146" spans="1:12">
      <c r="A146" s="11"/>
      <c r="B146" s="12"/>
      <c r="C146" s="12"/>
      <c r="D146" s="12"/>
      <c r="E146" s="12"/>
      <c r="F146" s="12"/>
      <c r="G146" s="12"/>
      <c r="H146" s="12"/>
      <c r="I146" s="12"/>
      <c r="J146" s="12"/>
      <c r="K146" s="12"/>
      <c r="L146" s="12"/>
    </row>
    <row r="147" spans="1:12">
      <c r="A147" s="11"/>
      <c r="B147" s="12"/>
      <c r="C147" s="12"/>
      <c r="D147" s="12"/>
      <c r="E147" s="12"/>
      <c r="F147" s="12"/>
      <c r="G147" s="12"/>
      <c r="H147" s="12"/>
      <c r="I147" s="12"/>
      <c r="J147" s="12"/>
      <c r="K147" s="12"/>
      <c r="L147" s="12"/>
    </row>
    <row r="148" spans="1:12">
      <c r="A148" s="11"/>
      <c r="B148" s="12"/>
      <c r="C148" s="12"/>
      <c r="D148" s="12"/>
      <c r="E148" s="12"/>
      <c r="F148" s="12"/>
      <c r="G148" s="12"/>
      <c r="H148" s="12"/>
      <c r="I148" s="12"/>
      <c r="J148" s="12"/>
      <c r="K148" s="12"/>
      <c r="L148" s="12"/>
    </row>
    <row r="149" spans="1:12">
      <c r="A149" s="11"/>
      <c r="B149" s="12"/>
      <c r="C149" s="12"/>
      <c r="D149" s="12"/>
      <c r="E149" s="12"/>
      <c r="F149" s="12"/>
      <c r="G149" s="12"/>
      <c r="H149" s="12"/>
      <c r="I149" s="12"/>
      <c r="J149" s="12"/>
      <c r="K149" s="12"/>
      <c r="L149" s="12"/>
    </row>
    <row r="150" spans="1:12">
      <c r="A150" s="11"/>
      <c r="B150" s="12"/>
      <c r="C150" s="12"/>
      <c r="D150" s="12"/>
      <c r="E150" s="12"/>
      <c r="F150" s="12"/>
      <c r="G150" s="12"/>
      <c r="H150" s="12"/>
      <c r="I150" s="12"/>
      <c r="J150" s="12"/>
      <c r="K150" s="12"/>
      <c r="L150" s="12"/>
    </row>
    <row r="151" spans="1:12">
      <c r="A151" s="11"/>
      <c r="B151" s="12"/>
      <c r="C151" s="12"/>
      <c r="D151" s="12"/>
      <c r="E151" s="12"/>
      <c r="F151" s="12"/>
      <c r="G151" s="12"/>
      <c r="H151" s="12"/>
      <c r="I151" s="12"/>
      <c r="J151" s="12"/>
      <c r="K151" s="12"/>
      <c r="L151" s="12"/>
    </row>
    <row r="152" spans="1:12">
      <c r="A152" s="11"/>
      <c r="B152" s="12"/>
      <c r="C152" s="12"/>
      <c r="D152" s="12"/>
      <c r="E152" s="12"/>
      <c r="F152" s="12"/>
      <c r="G152" s="12"/>
      <c r="H152" s="12"/>
      <c r="I152" s="12"/>
      <c r="J152" s="12"/>
      <c r="K152" s="12"/>
      <c r="L152" s="12"/>
    </row>
    <row r="153" spans="1:12">
      <c r="A153" s="11"/>
      <c r="B153" s="12"/>
      <c r="C153" s="12"/>
      <c r="D153" s="12"/>
      <c r="E153" s="12"/>
      <c r="F153" s="12"/>
      <c r="G153" s="12"/>
      <c r="H153" s="12"/>
      <c r="I153" s="12"/>
      <c r="J153" s="12"/>
      <c r="K153" s="12"/>
      <c r="L153" s="12"/>
    </row>
    <row r="154" spans="1:12">
      <c r="A154" s="11"/>
      <c r="B154" s="12"/>
      <c r="C154" s="12"/>
      <c r="D154" s="12"/>
      <c r="E154" s="12"/>
      <c r="F154" s="12"/>
      <c r="G154" s="12"/>
      <c r="H154" s="12"/>
      <c r="I154" s="12"/>
      <c r="J154" s="12"/>
      <c r="K154" s="12"/>
      <c r="L154" s="12"/>
    </row>
    <row r="155" spans="1:12">
      <c r="A155" s="11"/>
      <c r="B155" s="12"/>
      <c r="C155" s="12"/>
      <c r="D155" s="12"/>
      <c r="E155" s="12"/>
      <c r="F155" s="12"/>
      <c r="G155" s="12"/>
      <c r="H155" s="12"/>
      <c r="I155" s="12"/>
      <c r="J155" s="12"/>
      <c r="K155" s="12"/>
      <c r="L155" s="12"/>
    </row>
    <row r="156" spans="1:12">
      <c r="A156" s="11"/>
      <c r="B156" s="12"/>
      <c r="C156" s="12"/>
      <c r="D156" s="12"/>
      <c r="E156" s="12"/>
      <c r="F156" s="12"/>
      <c r="G156" s="12"/>
      <c r="H156" s="12"/>
      <c r="I156" s="12"/>
      <c r="J156" s="12"/>
      <c r="K156" s="12"/>
      <c r="L156" s="12"/>
    </row>
    <row r="157" spans="1:12">
      <c r="A157" s="11"/>
      <c r="B157" s="12"/>
      <c r="C157" s="12"/>
      <c r="D157" s="12"/>
      <c r="E157" s="12"/>
      <c r="F157" s="12"/>
      <c r="G157" s="12"/>
      <c r="H157" s="12"/>
      <c r="I157" s="12"/>
      <c r="J157" s="12"/>
      <c r="K157" s="12"/>
      <c r="L157" s="12"/>
    </row>
    <row r="158" spans="1:12">
      <c r="A158" s="11"/>
      <c r="B158" s="12"/>
      <c r="C158" s="12"/>
      <c r="D158" s="12"/>
      <c r="E158" s="12"/>
      <c r="F158" s="12"/>
      <c r="G158" s="12"/>
      <c r="H158" s="12"/>
      <c r="I158" s="12"/>
      <c r="J158" s="12"/>
      <c r="K158" s="12"/>
      <c r="L158" s="12"/>
    </row>
    <row r="159" spans="1:12">
      <c r="A159" s="11"/>
      <c r="B159" s="12"/>
      <c r="C159" s="12"/>
      <c r="D159" s="12"/>
      <c r="E159" s="12"/>
      <c r="F159" s="12"/>
      <c r="G159" s="12"/>
      <c r="H159" s="12"/>
      <c r="I159" s="12"/>
      <c r="J159" s="12"/>
      <c r="K159" s="12"/>
      <c r="L159" s="12"/>
    </row>
    <row r="160" spans="1:12">
      <c r="A160" s="11"/>
      <c r="B160" s="12"/>
      <c r="C160" s="12"/>
      <c r="D160" s="12"/>
      <c r="E160" s="12"/>
      <c r="F160" s="12"/>
      <c r="G160" s="12"/>
      <c r="H160" s="12"/>
      <c r="I160" s="12"/>
      <c r="J160" s="12"/>
      <c r="K160" s="12"/>
      <c r="L160" s="12"/>
    </row>
    <row r="161" spans="1:12">
      <c r="A161" s="11"/>
      <c r="B161" s="12"/>
      <c r="C161" s="12"/>
      <c r="D161" s="12"/>
      <c r="E161" s="12"/>
      <c r="F161" s="12"/>
      <c r="G161" s="12"/>
      <c r="H161" s="12"/>
      <c r="I161" s="12"/>
      <c r="J161" s="12"/>
      <c r="K161" s="12"/>
      <c r="L161" s="12"/>
    </row>
    <row r="162" spans="1:12">
      <c r="A162" s="11"/>
      <c r="B162" s="12"/>
      <c r="C162" s="12"/>
      <c r="D162" s="12"/>
      <c r="E162" s="12"/>
      <c r="F162" s="12"/>
      <c r="G162" s="12"/>
      <c r="H162" s="12"/>
      <c r="I162" s="12"/>
      <c r="J162" s="12"/>
      <c r="K162" s="12"/>
      <c r="L162" s="12"/>
    </row>
    <row r="163" spans="1:12">
      <c r="A163" s="11"/>
      <c r="B163" s="12"/>
      <c r="C163" s="12"/>
      <c r="D163" s="12"/>
      <c r="E163" s="12"/>
      <c r="F163" s="12"/>
      <c r="G163" s="12"/>
      <c r="H163" s="12"/>
      <c r="I163" s="12"/>
      <c r="J163" s="12"/>
      <c r="K163" s="12"/>
      <c r="L163" s="12"/>
    </row>
    <row r="164" spans="1:12">
      <c r="A164" s="11"/>
      <c r="B164" s="12"/>
      <c r="C164" s="12"/>
      <c r="D164" s="12"/>
      <c r="E164" s="12"/>
      <c r="F164" s="12"/>
      <c r="G164" s="12"/>
      <c r="H164" s="12"/>
      <c r="I164" s="12"/>
      <c r="J164" s="12"/>
      <c r="K164" s="12"/>
      <c r="L164" s="12"/>
    </row>
    <row r="165" spans="1:12">
      <c r="A165" s="11"/>
      <c r="B165" s="12"/>
      <c r="C165" s="12"/>
      <c r="D165" s="12"/>
      <c r="E165" s="12"/>
      <c r="F165" s="12"/>
      <c r="G165" s="12"/>
      <c r="H165" s="12"/>
      <c r="I165" s="12"/>
      <c r="J165" s="12"/>
      <c r="K165" s="12"/>
      <c r="L165" s="12"/>
    </row>
    <row r="166" spans="1:12">
      <c r="A166" s="11"/>
      <c r="B166" s="12"/>
      <c r="C166" s="12"/>
      <c r="D166" s="12"/>
      <c r="E166" s="12"/>
      <c r="F166" s="12"/>
      <c r="G166" s="12"/>
      <c r="H166" s="12"/>
      <c r="I166" s="12"/>
      <c r="J166" s="12"/>
      <c r="K166" s="12"/>
      <c r="L166" s="12"/>
    </row>
    <row r="167" spans="1:12">
      <c r="A167" s="11"/>
      <c r="B167" s="12"/>
      <c r="C167" s="12"/>
      <c r="D167" s="12"/>
      <c r="E167" s="12"/>
      <c r="F167" s="12"/>
      <c r="G167" s="12"/>
      <c r="H167" s="12"/>
      <c r="I167" s="12"/>
      <c r="J167" s="12"/>
      <c r="K167" s="12"/>
      <c r="L167" s="12"/>
    </row>
    <row r="168" spans="1:12">
      <c r="A168" s="11"/>
      <c r="B168" s="12"/>
      <c r="C168" s="12"/>
      <c r="D168" s="12"/>
      <c r="E168" s="12"/>
      <c r="F168" s="12"/>
      <c r="G168" s="12"/>
      <c r="H168" s="12"/>
      <c r="I168" s="12"/>
      <c r="J168" s="12"/>
      <c r="K168" s="12"/>
      <c r="L168" s="12"/>
    </row>
    <row r="169" spans="1:12">
      <c r="A169" s="11"/>
      <c r="B169" s="12"/>
      <c r="C169" s="12"/>
      <c r="D169" s="12"/>
      <c r="E169" s="12"/>
      <c r="F169" s="12"/>
      <c r="G169" s="12"/>
      <c r="H169" s="12"/>
      <c r="I169" s="12"/>
      <c r="J169" s="12"/>
      <c r="K169" s="12"/>
      <c r="L169" s="12"/>
    </row>
    <row r="170" spans="1:12">
      <c r="A170" s="11"/>
      <c r="B170" s="12"/>
      <c r="C170" s="12"/>
      <c r="D170" s="12"/>
      <c r="E170" s="12"/>
      <c r="F170" s="12"/>
      <c r="G170" s="12"/>
      <c r="H170" s="12"/>
      <c r="I170" s="12"/>
      <c r="J170" s="12"/>
      <c r="K170" s="12"/>
      <c r="L170" s="12"/>
    </row>
    <row r="171" spans="1:12">
      <c r="A171" s="11"/>
      <c r="B171" s="12"/>
      <c r="C171" s="12"/>
      <c r="D171" s="12"/>
      <c r="E171" s="12"/>
      <c r="F171" s="12"/>
      <c r="G171" s="12"/>
      <c r="H171" s="12"/>
      <c r="I171" s="12"/>
      <c r="J171" s="12"/>
      <c r="K171" s="12"/>
      <c r="L171" s="12"/>
    </row>
    <row r="172" spans="1:12">
      <c r="A172" s="11"/>
      <c r="B172" s="12"/>
      <c r="C172" s="12"/>
      <c r="D172" s="12"/>
      <c r="E172" s="12"/>
      <c r="F172" s="12"/>
      <c r="G172" s="12"/>
      <c r="H172" s="12"/>
      <c r="I172" s="12"/>
      <c r="J172" s="12"/>
      <c r="K172" s="12"/>
      <c r="L172" s="12"/>
    </row>
    <row r="173" spans="1:12">
      <c r="A173" s="11"/>
      <c r="B173" s="12"/>
      <c r="C173" s="12"/>
      <c r="D173" s="12"/>
      <c r="E173" s="12"/>
      <c r="F173" s="12"/>
      <c r="G173" s="12"/>
      <c r="H173" s="12"/>
      <c r="I173" s="12"/>
      <c r="J173" s="12"/>
      <c r="K173" s="12"/>
      <c r="L173" s="12"/>
    </row>
    <row r="174" spans="1:12">
      <c r="A174" s="11"/>
      <c r="B174" s="12"/>
      <c r="C174" s="12"/>
      <c r="D174" s="12"/>
      <c r="E174" s="12"/>
      <c r="F174" s="12"/>
      <c r="G174" s="12"/>
      <c r="H174" s="12"/>
      <c r="I174" s="12"/>
      <c r="J174" s="12"/>
      <c r="K174" s="12"/>
      <c r="L174" s="12"/>
    </row>
    <row r="175" spans="1:12">
      <c r="A175" s="11"/>
      <c r="B175" s="12"/>
      <c r="C175" s="12"/>
      <c r="D175" s="12"/>
      <c r="E175" s="12"/>
      <c r="F175" s="12"/>
      <c r="G175" s="12"/>
      <c r="H175" s="12"/>
      <c r="I175" s="12"/>
      <c r="J175" s="12"/>
      <c r="K175" s="12"/>
      <c r="L175" s="12"/>
    </row>
    <row r="176" spans="1:12">
      <c r="A176" s="11"/>
      <c r="B176" s="12"/>
      <c r="C176" s="12"/>
      <c r="D176" s="12"/>
      <c r="E176" s="12"/>
      <c r="F176" s="12"/>
      <c r="G176" s="12"/>
      <c r="H176" s="12"/>
      <c r="I176" s="12"/>
      <c r="J176" s="12"/>
      <c r="K176" s="12"/>
      <c r="L176" s="12"/>
    </row>
    <row r="177" spans="1:12">
      <c r="A177" s="11"/>
      <c r="B177" s="12"/>
      <c r="C177" s="12"/>
      <c r="D177" s="12"/>
      <c r="E177" s="12"/>
      <c r="F177" s="12"/>
      <c r="G177" s="12"/>
      <c r="H177" s="12"/>
      <c r="I177" s="12"/>
      <c r="J177" s="12"/>
      <c r="K177" s="12"/>
      <c r="L177" s="12"/>
    </row>
    <row r="178" spans="1:12">
      <c r="A178" s="11"/>
      <c r="B178" s="12"/>
      <c r="C178" s="12"/>
      <c r="D178" s="12"/>
      <c r="E178" s="12"/>
      <c r="F178" s="12"/>
      <c r="G178" s="12"/>
      <c r="H178" s="12"/>
      <c r="I178" s="12"/>
      <c r="J178" s="12"/>
      <c r="K178" s="12"/>
      <c r="L178" s="12"/>
    </row>
    <row r="179" spans="1:12">
      <c r="A179" s="11"/>
      <c r="B179" s="12"/>
      <c r="C179" s="12"/>
      <c r="D179" s="12"/>
      <c r="E179" s="12"/>
      <c r="F179" s="12"/>
      <c r="G179" s="12"/>
      <c r="H179" s="12"/>
      <c r="I179" s="12"/>
      <c r="J179" s="12"/>
      <c r="K179" s="12"/>
      <c r="L179" s="12"/>
    </row>
    <row r="180" spans="1:12">
      <c r="A180" s="11"/>
      <c r="B180" s="12"/>
      <c r="C180" s="12"/>
      <c r="D180" s="12"/>
      <c r="E180" s="12"/>
      <c r="F180" s="12"/>
      <c r="G180" s="12"/>
      <c r="H180" s="12"/>
      <c r="I180" s="12"/>
      <c r="J180" s="12"/>
      <c r="K180" s="12"/>
      <c r="L180" s="12"/>
    </row>
    <row r="181" spans="1:12">
      <c r="A181" s="11"/>
      <c r="B181" s="12"/>
      <c r="C181" s="12"/>
      <c r="D181" s="12"/>
      <c r="E181" s="12"/>
      <c r="F181" s="12"/>
      <c r="G181" s="12"/>
      <c r="H181" s="12"/>
      <c r="I181" s="12"/>
      <c r="J181" s="12"/>
      <c r="K181" s="12"/>
      <c r="L181" s="12"/>
    </row>
    <row r="182" spans="1:12">
      <c r="A182" s="11"/>
      <c r="B182" s="12"/>
      <c r="C182" s="12"/>
      <c r="D182" s="12"/>
      <c r="E182" s="12"/>
      <c r="F182" s="12"/>
      <c r="G182" s="12"/>
      <c r="H182" s="12"/>
      <c r="I182" s="12"/>
      <c r="J182" s="12"/>
      <c r="K182" s="12"/>
      <c r="L182" s="12"/>
    </row>
    <row r="183" spans="1:12">
      <c r="A183" s="11"/>
      <c r="B183" s="12"/>
      <c r="C183" s="12"/>
      <c r="D183" s="12"/>
      <c r="E183" s="12"/>
      <c r="F183" s="12"/>
      <c r="G183" s="12"/>
      <c r="H183" s="12"/>
      <c r="I183" s="12"/>
      <c r="J183" s="12"/>
      <c r="K183" s="12"/>
      <c r="L183" s="12"/>
    </row>
    <row r="184" spans="1:12">
      <c r="A184" s="11"/>
      <c r="B184" s="12"/>
      <c r="C184" s="12"/>
      <c r="D184" s="12"/>
      <c r="E184" s="12"/>
      <c r="F184" s="12"/>
      <c r="G184" s="12"/>
      <c r="H184" s="12"/>
      <c r="I184" s="12"/>
      <c r="J184" s="12"/>
      <c r="K184" s="12"/>
      <c r="L184" s="12"/>
    </row>
    <row r="185" spans="1:12">
      <c r="A185" s="11"/>
      <c r="B185" s="12"/>
      <c r="C185" s="12"/>
      <c r="D185" s="12"/>
      <c r="E185" s="12"/>
      <c r="F185" s="12"/>
      <c r="G185" s="12"/>
      <c r="H185" s="12"/>
      <c r="I185" s="12"/>
      <c r="J185" s="12"/>
      <c r="K185" s="12"/>
      <c r="L185" s="12"/>
    </row>
    <row r="186" spans="1:12">
      <c r="A186" s="11"/>
      <c r="B186" s="12"/>
      <c r="C186" s="12"/>
      <c r="D186" s="12"/>
      <c r="E186" s="12"/>
      <c r="F186" s="12"/>
      <c r="G186" s="12"/>
      <c r="H186" s="12"/>
      <c r="I186" s="12"/>
      <c r="J186" s="12"/>
      <c r="K186" s="12"/>
      <c r="L186" s="12"/>
    </row>
    <row r="187" spans="1:12">
      <c r="A187" s="11"/>
      <c r="B187" s="12"/>
      <c r="C187" s="12"/>
      <c r="D187" s="12"/>
      <c r="E187" s="12"/>
      <c r="F187" s="12"/>
      <c r="G187" s="12"/>
      <c r="H187" s="12"/>
      <c r="I187" s="12"/>
      <c r="J187" s="12"/>
      <c r="K187" s="12"/>
      <c r="L187" s="12"/>
    </row>
    <row r="188" spans="1:12">
      <c r="A188" s="11"/>
      <c r="B188" s="12"/>
      <c r="C188" s="12"/>
      <c r="D188" s="12"/>
      <c r="E188" s="12"/>
      <c r="F188" s="12"/>
      <c r="G188" s="12"/>
      <c r="H188" s="12"/>
      <c r="I188" s="12"/>
      <c r="J188" s="12"/>
      <c r="K188" s="12"/>
      <c r="L188" s="12"/>
    </row>
    <row r="189" spans="1:12">
      <c r="A189" s="11"/>
      <c r="B189" s="12"/>
      <c r="C189" s="12"/>
      <c r="D189" s="12"/>
      <c r="E189" s="12"/>
      <c r="F189" s="12"/>
      <c r="G189" s="12"/>
      <c r="H189" s="12"/>
      <c r="I189" s="12"/>
      <c r="J189" s="12"/>
      <c r="K189" s="12"/>
      <c r="L189" s="12"/>
    </row>
    <row r="190" spans="1:12">
      <c r="A190" s="11"/>
      <c r="B190" s="12"/>
      <c r="C190" s="12"/>
      <c r="D190" s="12"/>
      <c r="E190" s="12"/>
      <c r="F190" s="12"/>
      <c r="G190" s="12"/>
      <c r="H190" s="12"/>
      <c r="I190" s="12"/>
      <c r="J190" s="12"/>
      <c r="K190" s="12"/>
      <c r="L190" s="12"/>
    </row>
    <row r="191" spans="1:12">
      <c r="A191" s="11"/>
      <c r="B191" s="12"/>
      <c r="C191" s="12"/>
      <c r="D191" s="12"/>
      <c r="E191" s="12"/>
      <c r="F191" s="12"/>
      <c r="G191" s="12"/>
      <c r="H191" s="12"/>
      <c r="I191" s="12"/>
      <c r="J191" s="12"/>
      <c r="K191" s="12"/>
      <c r="L191" s="12"/>
    </row>
    <row r="192" spans="1:12">
      <c r="A192" s="11"/>
      <c r="B192" s="12"/>
      <c r="C192" s="12"/>
      <c r="D192" s="12"/>
      <c r="E192" s="12"/>
      <c r="F192" s="12"/>
      <c r="G192" s="12"/>
      <c r="H192" s="12"/>
      <c r="I192" s="12"/>
      <c r="J192" s="12"/>
      <c r="K192" s="12"/>
      <c r="L192" s="12"/>
    </row>
    <row r="193" spans="1:12">
      <c r="A193" s="11"/>
      <c r="B193" s="12"/>
      <c r="C193" s="12"/>
      <c r="D193" s="12"/>
      <c r="E193" s="12"/>
      <c r="F193" s="12"/>
      <c r="G193" s="12"/>
      <c r="H193" s="12"/>
      <c r="I193" s="12"/>
      <c r="J193" s="12"/>
      <c r="K193" s="12"/>
      <c r="L193" s="12"/>
    </row>
    <row r="194" spans="1:12">
      <c r="A194" s="11"/>
      <c r="B194" s="12"/>
      <c r="C194" s="12"/>
      <c r="D194" s="12"/>
      <c r="E194" s="12"/>
      <c r="F194" s="12"/>
      <c r="G194" s="12"/>
      <c r="H194" s="12"/>
      <c r="I194" s="12"/>
      <c r="J194" s="12"/>
      <c r="K194" s="12"/>
      <c r="L194" s="12"/>
    </row>
    <row r="195" spans="1:12">
      <c r="A195" s="11"/>
      <c r="B195" s="12"/>
      <c r="C195" s="12"/>
      <c r="D195" s="12"/>
      <c r="E195" s="12"/>
      <c r="F195" s="12"/>
      <c r="G195" s="12"/>
      <c r="H195" s="12"/>
      <c r="I195" s="12"/>
      <c r="J195" s="12"/>
      <c r="K195" s="12"/>
      <c r="L195" s="12"/>
    </row>
    <row r="196" spans="1:12">
      <c r="A196" s="11"/>
      <c r="B196" s="12"/>
      <c r="C196" s="12"/>
      <c r="D196" s="12"/>
      <c r="E196" s="12"/>
      <c r="F196" s="12"/>
      <c r="G196" s="12"/>
      <c r="H196" s="12"/>
      <c r="I196" s="12"/>
      <c r="J196" s="12"/>
      <c r="K196" s="12"/>
      <c r="L196" s="12"/>
    </row>
    <row r="197" spans="1:12">
      <c r="A197" s="11"/>
      <c r="B197" s="12"/>
      <c r="C197" s="12"/>
      <c r="D197" s="12"/>
      <c r="E197" s="12"/>
      <c r="F197" s="12"/>
      <c r="G197" s="12"/>
      <c r="H197" s="12"/>
      <c r="I197" s="12"/>
      <c r="J197" s="12"/>
      <c r="K197" s="12"/>
      <c r="L197" s="12"/>
    </row>
    <row r="198" spans="1:12">
      <c r="A198" s="11"/>
      <c r="B198" s="12"/>
      <c r="C198" s="12"/>
      <c r="D198" s="12"/>
      <c r="E198" s="12"/>
      <c r="F198" s="12"/>
      <c r="G198" s="12"/>
      <c r="H198" s="12"/>
      <c r="I198" s="12"/>
      <c r="J198" s="12"/>
      <c r="K198" s="12"/>
      <c r="L198" s="12"/>
    </row>
    <row r="199" spans="1:12">
      <c r="A199" s="11"/>
      <c r="B199" s="12"/>
      <c r="C199" s="12"/>
      <c r="D199" s="12"/>
      <c r="E199" s="12"/>
      <c r="F199" s="12"/>
      <c r="G199" s="12"/>
      <c r="H199" s="12"/>
      <c r="I199" s="12"/>
      <c r="J199" s="12"/>
      <c r="K199" s="12"/>
      <c r="L199" s="12"/>
    </row>
    <row r="200" spans="1:12">
      <c r="A200" s="11"/>
      <c r="B200" s="12"/>
      <c r="C200" s="12"/>
      <c r="D200" s="12"/>
      <c r="E200" s="12"/>
      <c r="F200" s="12"/>
      <c r="G200" s="12"/>
      <c r="H200" s="12"/>
      <c r="I200" s="12"/>
      <c r="J200" s="12"/>
      <c r="K200" s="12"/>
      <c r="L200" s="12"/>
    </row>
    <row r="201" spans="1:12">
      <c r="A201" s="11"/>
      <c r="B201" s="12"/>
      <c r="C201" s="12"/>
      <c r="D201" s="12"/>
      <c r="E201" s="12"/>
      <c r="F201" s="12"/>
      <c r="G201" s="12"/>
      <c r="H201" s="12"/>
      <c r="I201" s="12"/>
      <c r="J201" s="12"/>
      <c r="K201" s="12"/>
      <c r="L201" s="12"/>
    </row>
    <row r="202" spans="1:12">
      <c r="A202" s="11"/>
      <c r="B202" s="12"/>
      <c r="C202" s="12"/>
      <c r="D202" s="12"/>
      <c r="E202" s="12"/>
      <c r="F202" s="12"/>
      <c r="G202" s="12"/>
      <c r="H202" s="12"/>
      <c r="I202" s="12"/>
      <c r="J202" s="12"/>
      <c r="K202" s="12"/>
      <c r="L202" s="12"/>
    </row>
    <row r="203" spans="1:12">
      <c r="A203" s="11"/>
      <c r="B203" s="12"/>
      <c r="C203" s="12"/>
      <c r="D203" s="12"/>
      <c r="E203" s="12"/>
      <c r="F203" s="12"/>
      <c r="G203" s="12"/>
      <c r="H203" s="12"/>
      <c r="I203" s="12"/>
      <c r="J203" s="12"/>
      <c r="K203" s="12"/>
      <c r="L203" s="12"/>
    </row>
    <row r="204" spans="1:12">
      <c r="A204" s="11"/>
      <c r="B204" s="12"/>
      <c r="C204" s="12"/>
      <c r="D204" s="12"/>
      <c r="E204" s="12"/>
      <c r="F204" s="12"/>
      <c r="G204" s="12"/>
      <c r="H204" s="12"/>
      <c r="I204" s="12"/>
      <c r="J204" s="12"/>
      <c r="K204" s="12"/>
      <c r="L204" s="12"/>
    </row>
    <row r="205" spans="1:12">
      <c r="A205" s="11"/>
      <c r="B205" s="12"/>
      <c r="C205" s="12"/>
      <c r="D205" s="12"/>
      <c r="E205" s="12"/>
      <c r="F205" s="12"/>
      <c r="G205" s="12"/>
      <c r="H205" s="12"/>
      <c r="I205" s="12"/>
      <c r="J205" s="12"/>
      <c r="K205" s="12"/>
      <c r="L205" s="12"/>
    </row>
    <row r="206" spans="1:12">
      <c r="A206" s="11"/>
      <c r="B206" s="12"/>
      <c r="C206" s="12"/>
      <c r="D206" s="12"/>
      <c r="E206" s="12"/>
      <c r="F206" s="12"/>
      <c r="G206" s="12"/>
      <c r="H206" s="12"/>
      <c r="I206" s="12"/>
      <c r="J206" s="12"/>
      <c r="K206" s="12"/>
      <c r="L206" s="12"/>
    </row>
    <row r="207" spans="1:12">
      <c r="A207" s="11"/>
      <c r="B207" s="12"/>
      <c r="C207" s="12"/>
      <c r="D207" s="12"/>
      <c r="E207" s="12"/>
      <c r="F207" s="12"/>
      <c r="G207" s="12"/>
      <c r="H207" s="12"/>
      <c r="I207" s="12"/>
      <c r="J207" s="12"/>
      <c r="K207" s="12"/>
      <c r="L207" s="12"/>
    </row>
    <row r="208" spans="1:12">
      <c r="A208" s="11"/>
      <c r="B208" s="12"/>
      <c r="C208" s="12"/>
      <c r="D208" s="12"/>
      <c r="E208" s="12"/>
      <c r="F208" s="12"/>
      <c r="G208" s="12"/>
      <c r="H208" s="12"/>
      <c r="I208" s="12"/>
      <c r="J208" s="12"/>
      <c r="K208" s="12"/>
      <c r="L208" s="12"/>
    </row>
    <row r="209" spans="1:12">
      <c r="A209" s="11"/>
      <c r="B209" s="12"/>
      <c r="C209" s="12"/>
      <c r="D209" s="12"/>
      <c r="E209" s="12"/>
      <c r="F209" s="12"/>
      <c r="G209" s="12"/>
      <c r="H209" s="12"/>
      <c r="I209" s="12"/>
      <c r="J209" s="12"/>
      <c r="K209" s="12"/>
      <c r="L209" s="12"/>
    </row>
    <row r="210" spans="1:12">
      <c r="A210" s="11"/>
      <c r="B210" s="12"/>
      <c r="C210" s="12"/>
      <c r="D210" s="12"/>
      <c r="E210" s="12"/>
      <c r="F210" s="12"/>
      <c r="G210" s="12"/>
      <c r="H210" s="12"/>
      <c r="I210" s="12"/>
      <c r="J210" s="12"/>
      <c r="K210" s="12"/>
      <c r="L210" s="12"/>
    </row>
    <row r="211" spans="1:12">
      <c r="A211" s="11"/>
      <c r="B211" s="12"/>
      <c r="C211" s="12"/>
      <c r="D211" s="12"/>
      <c r="E211" s="12"/>
      <c r="F211" s="12"/>
      <c r="G211" s="12"/>
      <c r="H211" s="12"/>
      <c r="I211" s="12"/>
      <c r="J211" s="12"/>
      <c r="K211" s="12"/>
      <c r="L211" s="12"/>
    </row>
    <row r="212" spans="1:12">
      <c r="A212" s="11"/>
      <c r="B212" s="12"/>
      <c r="C212" s="12"/>
      <c r="D212" s="12"/>
      <c r="E212" s="12"/>
      <c r="F212" s="12"/>
      <c r="G212" s="12"/>
      <c r="H212" s="12"/>
      <c r="I212" s="12"/>
      <c r="J212" s="12"/>
      <c r="K212" s="12"/>
      <c r="L212" s="12"/>
    </row>
    <row r="213" spans="1:12">
      <c r="A213" s="11"/>
      <c r="B213" s="12"/>
      <c r="C213" s="12"/>
      <c r="D213" s="12"/>
      <c r="E213" s="12"/>
      <c r="F213" s="12"/>
      <c r="G213" s="12"/>
      <c r="H213" s="12"/>
      <c r="I213" s="12"/>
      <c r="J213" s="12"/>
      <c r="K213" s="12"/>
      <c r="L213" s="12"/>
    </row>
    <row r="214" spans="1:12">
      <c r="A214" s="11"/>
      <c r="B214" s="12"/>
      <c r="C214" s="12"/>
      <c r="D214" s="12"/>
      <c r="E214" s="12"/>
      <c r="F214" s="12"/>
      <c r="G214" s="12"/>
      <c r="H214" s="12"/>
      <c r="I214" s="12"/>
      <c r="J214" s="12"/>
      <c r="K214" s="12"/>
      <c r="L214" s="12"/>
    </row>
    <row r="215" spans="1:12">
      <c r="A215" s="11"/>
      <c r="B215" s="12"/>
      <c r="C215" s="12"/>
      <c r="D215" s="12"/>
      <c r="E215" s="12"/>
      <c r="F215" s="12"/>
      <c r="G215" s="12"/>
      <c r="H215" s="12"/>
      <c r="I215" s="12"/>
      <c r="J215" s="12"/>
      <c r="K215" s="12"/>
      <c r="L215" s="12"/>
    </row>
    <row r="216" spans="1:12">
      <c r="A216" s="11"/>
      <c r="B216" s="12"/>
      <c r="C216" s="12"/>
      <c r="D216" s="12"/>
      <c r="E216" s="12"/>
      <c r="F216" s="12"/>
      <c r="G216" s="12"/>
      <c r="H216" s="12"/>
      <c r="I216" s="12"/>
      <c r="J216" s="12"/>
      <c r="K216" s="12"/>
      <c r="L216" s="12"/>
    </row>
    <row r="217" spans="1:12">
      <c r="A217" s="11"/>
      <c r="B217" s="12"/>
      <c r="C217" s="12"/>
      <c r="D217" s="12"/>
      <c r="E217" s="12"/>
      <c r="F217" s="12"/>
      <c r="G217" s="12"/>
      <c r="H217" s="12"/>
      <c r="I217" s="12"/>
      <c r="J217" s="12"/>
      <c r="K217" s="12"/>
      <c r="L217" s="12"/>
    </row>
    <row r="218" spans="1:12">
      <c r="A218" s="11"/>
      <c r="B218" s="12"/>
      <c r="C218" s="12"/>
      <c r="D218" s="12"/>
      <c r="E218" s="12"/>
      <c r="F218" s="12"/>
      <c r="G218" s="12"/>
      <c r="H218" s="12"/>
      <c r="I218" s="12"/>
      <c r="J218" s="12"/>
      <c r="K218" s="12"/>
      <c r="L218" s="12"/>
    </row>
    <row r="219" spans="1:12">
      <c r="A219" s="11"/>
      <c r="B219" s="12"/>
      <c r="C219" s="12"/>
      <c r="D219" s="12"/>
      <c r="E219" s="12"/>
      <c r="F219" s="12"/>
      <c r="G219" s="12"/>
      <c r="H219" s="12"/>
      <c r="I219" s="12"/>
      <c r="J219" s="12"/>
      <c r="K219" s="12"/>
      <c r="L219" s="12"/>
    </row>
    <row r="220" spans="1:12">
      <c r="A220" s="11"/>
      <c r="B220" s="12"/>
      <c r="C220" s="12"/>
      <c r="D220" s="12"/>
      <c r="E220" s="12"/>
      <c r="F220" s="12"/>
      <c r="G220" s="12"/>
      <c r="H220" s="12"/>
      <c r="I220" s="12"/>
      <c r="J220" s="12"/>
      <c r="K220" s="12"/>
      <c r="L220" s="12"/>
    </row>
    <row r="221" spans="1:12">
      <c r="A221" s="11"/>
      <c r="B221" s="12"/>
      <c r="C221" s="12"/>
      <c r="D221" s="12"/>
      <c r="E221" s="12"/>
      <c r="F221" s="12"/>
      <c r="G221" s="12"/>
      <c r="H221" s="12"/>
      <c r="I221" s="12"/>
      <c r="J221" s="12"/>
      <c r="K221" s="12"/>
      <c r="L221" s="12"/>
    </row>
    <row r="222" spans="1:12">
      <c r="A222" s="11"/>
      <c r="B222" s="12"/>
      <c r="C222" s="12"/>
      <c r="D222" s="12"/>
      <c r="E222" s="12"/>
      <c r="F222" s="12"/>
      <c r="G222" s="12"/>
      <c r="H222" s="12"/>
      <c r="I222" s="12"/>
      <c r="J222" s="12"/>
      <c r="K222" s="12"/>
      <c r="L222" s="12"/>
    </row>
    <row r="223" spans="1:12">
      <c r="A223" s="11"/>
      <c r="B223" s="12"/>
      <c r="C223" s="12"/>
      <c r="D223" s="12"/>
      <c r="E223" s="12"/>
      <c r="F223" s="12"/>
      <c r="G223" s="12"/>
      <c r="H223" s="12"/>
      <c r="I223" s="12"/>
      <c r="J223" s="12"/>
      <c r="K223" s="12"/>
      <c r="L223" s="12"/>
    </row>
    <row r="224" spans="1:12">
      <c r="A224" s="11"/>
      <c r="B224" s="12"/>
      <c r="C224" s="12"/>
      <c r="D224" s="12"/>
      <c r="E224" s="12"/>
      <c r="F224" s="12"/>
      <c r="G224" s="12"/>
      <c r="H224" s="12"/>
      <c r="I224" s="12"/>
      <c r="J224" s="12"/>
      <c r="K224" s="12"/>
      <c r="L224" s="12"/>
    </row>
    <row r="225" spans="1:12">
      <c r="A225" s="11"/>
      <c r="B225" s="12"/>
      <c r="C225" s="12"/>
      <c r="D225" s="12"/>
      <c r="E225" s="12"/>
      <c r="F225" s="12"/>
      <c r="G225" s="12"/>
      <c r="H225" s="12"/>
      <c r="I225" s="12"/>
      <c r="J225" s="12"/>
      <c r="K225" s="12"/>
      <c r="L225" s="12"/>
    </row>
    <row r="226" spans="1:12">
      <c r="A226" s="11"/>
      <c r="B226" s="12"/>
      <c r="C226" s="12"/>
      <c r="D226" s="12"/>
      <c r="E226" s="12"/>
      <c r="F226" s="12"/>
      <c r="G226" s="12"/>
      <c r="H226" s="12"/>
      <c r="I226" s="12"/>
      <c r="J226" s="12"/>
      <c r="K226" s="12"/>
      <c r="L226" s="12"/>
    </row>
    <row r="227" spans="1:12">
      <c r="A227" s="11"/>
      <c r="B227" s="12"/>
      <c r="C227" s="12"/>
      <c r="D227" s="12"/>
      <c r="E227" s="12"/>
      <c r="F227" s="12"/>
      <c r="G227" s="12"/>
      <c r="H227" s="12"/>
      <c r="I227" s="12"/>
      <c r="J227" s="12"/>
      <c r="K227" s="12"/>
      <c r="L227" s="12"/>
    </row>
    <row r="228" spans="1:12">
      <c r="A228" s="11"/>
      <c r="B228" s="12"/>
      <c r="C228" s="12"/>
      <c r="D228" s="12"/>
      <c r="E228" s="12"/>
      <c r="F228" s="12"/>
      <c r="G228" s="12"/>
      <c r="H228" s="12"/>
      <c r="I228" s="12"/>
      <c r="J228" s="12"/>
      <c r="K228" s="12"/>
      <c r="L228" s="12"/>
    </row>
    <row r="229" spans="1:12">
      <c r="A229" s="11"/>
      <c r="B229" s="12"/>
      <c r="C229" s="12"/>
      <c r="D229" s="12"/>
      <c r="E229" s="12"/>
      <c r="F229" s="12"/>
      <c r="G229" s="12"/>
      <c r="H229" s="12"/>
      <c r="I229" s="12"/>
      <c r="J229" s="12"/>
      <c r="K229" s="12"/>
      <c r="L229" s="12"/>
    </row>
    <row r="230" spans="1:12">
      <c r="A230" s="11"/>
      <c r="B230" s="12"/>
      <c r="C230" s="12"/>
      <c r="D230" s="12"/>
      <c r="E230" s="12"/>
      <c r="F230" s="12"/>
      <c r="G230" s="12"/>
      <c r="H230" s="12"/>
      <c r="I230" s="12"/>
      <c r="J230" s="12"/>
      <c r="K230" s="12"/>
      <c r="L230" s="12"/>
    </row>
    <row r="231" spans="1:12">
      <c r="A231" s="11"/>
      <c r="B231" s="12"/>
      <c r="C231" s="12"/>
      <c r="D231" s="12"/>
      <c r="E231" s="12"/>
      <c r="F231" s="12"/>
      <c r="G231" s="12"/>
      <c r="H231" s="12"/>
      <c r="I231" s="12"/>
      <c r="J231" s="12"/>
      <c r="K231" s="12"/>
      <c r="L231" s="12"/>
    </row>
    <row r="232" spans="1:12">
      <c r="A232" s="11"/>
      <c r="B232" s="12"/>
      <c r="C232" s="12"/>
      <c r="D232" s="12"/>
      <c r="E232" s="12"/>
      <c r="F232" s="12"/>
      <c r="G232" s="12"/>
      <c r="H232" s="12"/>
      <c r="I232" s="12"/>
      <c r="J232" s="12"/>
      <c r="K232" s="12"/>
      <c r="L232" s="12"/>
    </row>
    <row r="233" spans="1:12">
      <c r="A233" s="11"/>
      <c r="B233" s="12"/>
      <c r="C233" s="12"/>
      <c r="D233" s="12"/>
      <c r="E233" s="12"/>
      <c r="F233" s="12"/>
      <c r="G233" s="12"/>
      <c r="H233" s="12"/>
      <c r="I233" s="12"/>
      <c r="J233" s="12"/>
      <c r="K233" s="12"/>
      <c r="L233" s="12"/>
    </row>
    <row r="234" spans="1:12">
      <c r="A234" s="11"/>
      <c r="B234" s="12"/>
      <c r="C234" s="12"/>
      <c r="D234" s="12"/>
      <c r="E234" s="12"/>
      <c r="F234" s="12"/>
      <c r="G234" s="12"/>
      <c r="H234" s="12"/>
      <c r="I234" s="12"/>
      <c r="J234" s="12"/>
      <c r="K234" s="12"/>
      <c r="L234" s="12"/>
    </row>
    <row r="235" spans="1:12">
      <c r="A235" s="11"/>
      <c r="B235" s="12"/>
      <c r="C235" s="12"/>
      <c r="D235" s="12"/>
      <c r="E235" s="12"/>
      <c r="F235" s="12"/>
      <c r="G235" s="12"/>
      <c r="H235" s="12"/>
      <c r="I235" s="12"/>
      <c r="J235" s="12"/>
      <c r="K235" s="12"/>
      <c r="L235" s="12"/>
    </row>
    <row r="236" spans="1:12">
      <c r="A236" s="11"/>
      <c r="B236" s="12"/>
      <c r="C236" s="12"/>
      <c r="D236" s="12"/>
      <c r="E236" s="12"/>
      <c r="F236" s="12"/>
      <c r="G236" s="12"/>
      <c r="H236" s="12"/>
      <c r="I236" s="12"/>
      <c r="J236" s="12"/>
      <c r="K236" s="12"/>
      <c r="L236" s="12"/>
    </row>
    <row r="237" spans="1:12">
      <c r="A237" s="11"/>
      <c r="B237" s="12"/>
      <c r="C237" s="12"/>
      <c r="D237" s="12"/>
      <c r="E237" s="12"/>
      <c r="F237" s="12"/>
      <c r="G237" s="12"/>
      <c r="H237" s="12"/>
      <c r="I237" s="12"/>
      <c r="J237" s="12"/>
      <c r="K237" s="12"/>
      <c r="L237" s="12"/>
    </row>
    <row r="238" spans="1:12">
      <c r="A238" s="11"/>
      <c r="B238" s="12"/>
      <c r="C238" s="12"/>
      <c r="D238" s="12"/>
      <c r="E238" s="12"/>
      <c r="F238" s="12"/>
      <c r="G238" s="12"/>
      <c r="H238" s="12"/>
      <c r="I238" s="12"/>
      <c r="J238" s="12"/>
      <c r="K238" s="12"/>
      <c r="L238" s="12"/>
    </row>
    <row r="239" spans="1:12">
      <c r="A239" s="11"/>
      <c r="B239" s="12"/>
      <c r="C239" s="12"/>
      <c r="D239" s="12"/>
      <c r="E239" s="12"/>
      <c r="F239" s="12"/>
      <c r="G239" s="12"/>
      <c r="H239" s="12"/>
      <c r="I239" s="12"/>
      <c r="J239" s="12"/>
      <c r="K239" s="12"/>
      <c r="L239" s="12"/>
    </row>
    <row r="240" spans="1:12">
      <c r="A240" s="11"/>
      <c r="B240" s="12"/>
      <c r="C240" s="12"/>
      <c r="D240" s="12"/>
      <c r="E240" s="12"/>
      <c r="F240" s="12"/>
      <c r="G240" s="12"/>
      <c r="H240" s="12"/>
      <c r="I240" s="12"/>
      <c r="J240" s="12"/>
      <c r="K240" s="12"/>
      <c r="L240" s="12"/>
    </row>
    <row r="241" spans="1:12">
      <c r="A241" s="11"/>
      <c r="B241" s="12"/>
      <c r="C241" s="12"/>
      <c r="D241" s="12"/>
      <c r="E241" s="12"/>
      <c r="F241" s="12"/>
      <c r="G241" s="12"/>
      <c r="H241" s="12"/>
      <c r="I241" s="12"/>
      <c r="J241" s="12"/>
      <c r="K241" s="12"/>
      <c r="L241" s="12"/>
    </row>
    <row r="242" spans="1:12">
      <c r="A242" s="11"/>
      <c r="B242" s="12"/>
      <c r="C242" s="12"/>
      <c r="D242" s="12"/>
      <c r="E242" s="12"/>
      <c r="F242" s="12"/>
      <c r="G242" s="12"/>
      <c r="H242" s="12"/>
      <c r="I242" s="12"/>
      <c r="J242" s="12"/>
      <c r="K242" s="12"/>
      <c r="L242" s="12"/>
    </row>
    <row r="243" spans="1:12">
      <c r="A243" s="11"/>
      <c r="B243" s="12"/>
      <c r="C243" s="12"/>
      <c r="D243" s="12"/>
      <c r="E243" s="12"/>
      <c r="F243" s="12"/>
      <c r="G243" s="12"/>
      <c r="H243" s="12"/>
      <c r="I243" s="12"/>
      <c r="J243" s="12"/>
      <c r="K243" s="12"/>
      <c r="L243" s="12"/>
    </row>
    <row r="244" spans="1:12">
      <c r="A244" s="11"/>
      <c r="B244" s="12"/>
      <c r="C244" s="12"/>
      <c r="D244" s="12"/>
      <c r="E244" s="12"/>
      <c r="F244" s="12"/>
      <c r="G244" s="12"/>
      <c r="H244" s="12"/>
      <c r="I244" s="12"/>
      <c r="J244" s="12"/>
      <c r="K244" s="12"/>
      <c r="L244" s="12"/>
    </row>
    <row r="245" spans="1:12">
      <c r="A245" s="11"/>
      <c r="B245" s="12"/>
      <c r="C245" s="12"/>
      <c r="D245" s="12"/>
      <c r="E245" s="12"/>
      <c r="F245" s="12"/>
      <c r="G245" s="12"/>
      <c r="H245" s="12"/>
      <c r="I245" s="12"/>
      <c r="J245" s="12"/>
      <c r="K245" s="12"/>
      <c r="L245" s="12"/>
    </row>
    <row r="246" spans="1:12">
      <c r="A246" s="11"/>
      <c r="B246" s="12"/>
      <c r="C246" s="12"/>
      <c r="D246" s="12"/>
      <c r="E246" s="12"/>
      <c r="F246" s="12"/>
      <c r="G246" s="12"/>
      <c r="H246" s="12"/>
      <c r="I246" s="12"/>
      <c r="J246" s="12"/>
      <c r="K246" s="12"/>
      <c r="L246" s="12"/>
    </row>
    <row r="247" spans="1:12">
      <c r="A247" s="11"/>
      <c r="B247" s="12"/>
      <c r="C247" s="12"/>
      <c r="D247" s="12"/>
      <c r="E247" s="12"/>
      <c r="F247" s="12"/>
      <c r="G247" s="12"/>
      <c r="H247" s="12"/>
      <c r="I247" s="12"/>
      <c r="J247" s="12"/>
      <c r="K247" s="12"/>
      <c r="L247" s="12"/>
    </row>
    <row r="248" spans="1:12">
      <c r="A248" s="11"/>
      <c r="B248" s="12"/>
      <c r="C248" s="12"/>
      <c r="D248" s="12"/>
      <c r="E248" s="12"/>
      <c r="F248" s="12"/>
      <c r="G248" s="12"/>
      <c r="H248" s="12"/>
      <c r="I248" s="12"/>
      <c r="J248" s="12"/>
      <c r="K248" s="12"/>
      <c r="L248" s="12"/>
    </row>
    <row r="249" spans="1:12">
      <c r="A249" s="11"/>
      <c r="B249" s="12"/>
      <c r="C249" s="12"/>
      <c r="D249" s="12"/>
      <c r="E249" s="12"/>
      <c r="F249" s="12"/>
      <c r="G249" s="12"/>
      <c r="H249" s="12"/>
      <c r="I249" s="12"/>
      <c r="J249" s="12"/>
      <c r="K249" s="12"/>
      <c r="L249" s="12"/>
    </row>
    <row r="250" spans="1:12">
      <c r="A250" s="11"/>
      <c r="B250" s="12"/>
      <c r="C250" s="12"/>
      <c r="D250" s="12"/>
      <c r="E250" s="12"/>
      <c r="F250" s="12"/>
      <c r="G250" s="12"/>
      <c r="H250" s="12"/>
      <c r="I250" s="12"/>
      <c r="J250" s="12"/>
      <c r="K250" s="12"/>
      <c r="L250" s="12"/>
    </row>
    <row r="251" spans="1:12">
      <c r="A251" s="11"/>
      <c r="B251" s="12"/>
      <c r="C251" s="12"/>
      <c r="D251" s="12"/>
      <c r="E251" s="12"/>
      <c r="F251" s="12"/>
      <c r="G251" s="12"/>
      <c r="H251" s="12"/>
      <c r="I251" s="12"/>
      <c r="J251" s="12"/>
      <c r="K251" s="12"/>
      <c r="L251" s="12"/>
    </row>
    <row r="252" spans="1:12">
      <c r="A252" s="11"/>
      <c r="B252" s="12"/>
      <c r="C252" s="12"/>
      <c r="D252" s="12"/>
      <c r="E252" s="12"/>
      <c r="F252" s="12"/>
      <c r="G252" s="12"/>
      <c r="H252" s="12"/>
      <c r="I252" s="12"/>
      <c r="J252" s="12"/>
      <c r="K252" s="12"/>
      <c r="L252" s="12"/>
    </row>
    <row r="253" spans="1:12">
      <c r="A253" s="11"/>
      <c r="B253" s="12"/>
      <c r="C253" s="12"/>
      <c r="D253" s="12"/>
      <c r="E253" s="12"/>
      <c r="F253" s="12"/>
      <c r="G253" s="12"/>
      <c r="H253" s="12"/>
      <c r="I253" s="12"/>
      <c r="J253" s="12"/>
      <c r="K253" s="12"/>
      <c r="L253" s="12"/>
    </row>
    <row r="254" spans="1:12">
      <c r="A254" s="11"/>
      <c r="B254" s="12"/>
      <c r="C254" s="12"/>
      <c r="D254" s="12"/>
      <c r="E254" s="12"/>
      <c r="F254" s="12"/>
      <c r="G254" s="12"/>
      <c r="H254" s="12"/>
      <c r="I254" s="12"/>
      <c r="J254" s="12"/>
      <c r="K254" s="12"/>
      <c r="L254" s="12"/>
    </row>
    <row r="255" spans="1:12">
      <c r="A255" s="11"/>
      <c r="B255" s="12"/>
      <c r="C255" s="12"/>
      <c r="D255" s="12"/>
      <c r="E255" s="12"/>
      <c r="F255" s="12"/>
      <c r="G255" s="12"/>
      <c r="H255" s="12"/>
      <c r="I255" s="12"/>
      <c r="J255" s="12"/>
      <c r="K255" s="12"/>
      <c r="L255" s="12"/>
    </row>
    <row r="256" spans="1:12">
      <c r="A256" s="11"/>
      <c r="B256" s="12"/>
      <c r="C256" s="12"/>
      <c r="D256" s="12"/>
      <c r="E256" s="12"/>
      <c r="F256" s="12"/>
      <c r="G256" s="12"/>
      <c r="H256" s="12"/>
      <c r="I256" s="12"/>
      <c r="J256" s="12"/>
      <c r="K256" s="12"/>
      <c r="L256" s="12"/>
    </row>
    <row r="257" spans="1:12">
      <c r="A257" s="11"/>
      <c r="B257" s="12"/>
      <c r="C257" s="12"/>
      <c r="D257" s="12"/>
      <c r="E257" s="12"/>
      <c r="F257" s="12"/>
      <c r="G257" s="12"/>
      <c r="H257" s="12"/>
      <c r="I257" s="12"/>
      <c r="J257" s="12"/>
      <c r="K257" s="12"/>
      <c r="L257" s="12"/>
    </row>
    <row r="258" spans="1:12">
      <c r="A258" s="11"/>
      <c r="B258" s="12"/>
      <c r="C258" s="12"/>
      <c r="D258" s="12"/>
      <c r="E258" s="12"/>
      <c r="F258" s="12"/>
      <c r="G258" s="12"/>
      <c r="H258" s="12"/>
      <c r="I258" s="12"/>
      <c r="J258" s="12"/>
      <c r="K258" s="12"/>
      <c r="L258" s="12"/>
    </row>
    <row r="259" spans="1:12">
      <c r="A259" s="11"/>
      <c r="B259" s="12"/>
      <c r="C259" s="12"/>
      <c r="D259" s="12"/>
      <c r="E259" s="12"/>
      <c r="F259" s="12"/>
      <c r="G259" s="12"/>
      <c r="H259" s="12"/>
      <c r="I259" s="12"/>
      <c r="J259" s="12"/>
      <c r="K259" s="12"/>
      <c r="L259" s="12"/>
    </row>
    <row r="260" spans="1:12">
      <c r="A260" s="11"/>
      <c r="B260" s="12"/>
      <c r="C260" s="12"/>
      <c r="D260" s="12"/>
      <c r="E260" s="12"/>
      <c r="F260" s="12"/>
      <c r="G260" s="12"/>
      <c r="H260" s="12"/>
      <c r="I260" s="12"/>
      <c r="J260" s="12"/>
      <c r="K260" s="12"/>
      <c r="L260" s="12"/>
    </row>
    <row r="261" spans="1:12">
      <c r="A261" s="11"/>
      <c r="B261" s="12"/>
      <c r="C261" s="12"/>
      <c r="D261" s="12"/>
      <c r="E261" s="12"/>
      <c r="F261" s="12"/>
      <c r="G261" s="12"/>
      <c r="H261" s="12"/>
      <c r="I261" s="12"/>
      <c r="J261" s="12"/>
      <c r="K261" s="12"/>
      <c r="L261" s="12"/>
    </row>
    <row r="262" spans="1:12">
      <c r="A262" s="11"/>
      <c r="B262" s="12"/>
      <c r="C262" s="12"/>
      <c r="D262" s="12"/>
      <c r="E262" s="12"/>
      <c r="F262" s="12"/>
      <c r="G262" s="12"/>
      <c r="H262" s="12"/>
      <c r="I262" s="12"/>
      <c r="J262" s="12"/>
      <c r="K262" s="12"/>
      <c r="L262" s="12"/>
    </row>
    <row r="263" spans="1:12">
      <c r="A263" s="11"/>
      <c r="B263" s="12"/>
      <c r="C263" s="12"/>
      <c r="D263" s="12"/>
      <c r="E263" s="12"/>
      <c r="F263" s="12"/>
      <c r="G263" s="12"/>
      <c r="H263" s="12"/>
      <c r="I263" s="12"/>
      <c r="J263" s="12"/>
      <c r="K263" s="12"/>
      <c r="L263" s="12"/>
    </row>
    <row r="264" spans="1:12">
      <c r="A264" s="11"/>
      <c r="B264" s="12"/>
      <c r="C264" s="12"/>
      <c r="D264" s="12"/>
      <c r="E264" s="12"/>
      <c r="F264" s="12"/>
      <c r="G264" s="12"/>
      <c r="H264" s="12"/>
      <c r="I264" s="12"/>
      <c r="J264" s="12"/>
      <c r="K264" s="12"/>
      <c r="L264" s="12"/>
    </row>
    <row r="265" spans="1:12">
      <c r="A265" s="11"/>
      <c r="B265" s="12"/>
      <c r="C265" s="12"/>
      <c r="D265" s="12"/>
      <c r="E265" s="12"/>
      <c r="F265" s="12"/>
      <c r="G265" s="12"/>
      <c r="H265" s="12"/>
      <c r="I265" s="12"/>
      <c r="J265" s="12"/>
      <c r="K265" s="12"/>
      <c r="L265" s="12"/>
    </row>
    <row r="266" spans="1:12">
      <c r="A266" s="11"/>
      <c r="B266" s="12"/>
      <c r="C266" s="12"/>
      <c r="D266" s="12"/>
      <c r="E266" s="12"/>
      <c r="F266" s="12"/>
      <c r="G266" s="12"/>
      <c r="H266" s="12"/>
      <c r="I266" s="12"/>
      <c r="J266" s="12"/>
      <c r="K266" s="12"/>
      <c r="L266" s="12"/>
    </row>
    <row r="267" spans="1:12">
      <c r="A267" s="11"/>
      <c r="B267" s="12"/>
      <c r="C267" s="12"/>
      <c r="D267" s="12"/>
      <c r="E267" s="12"/>
      <c r="F267" s="12"/>
      <c r="G267" s="12"/>
      <c r="H267" s="12"/>
      <c r="I267" s="12"/>
      <c r="J267" s="12"/>
      <c r="K267" s="12"/>
      <c r="L267" s="12"/>
    </row>
    <row r="268" spans="1:12">
      <c r="A268" s="11"/>
      <c r="B268" s="12"/>
      <c r="C268" s="12"/>
      <c r="D268" s="12"/>
      <c r="E268" s="12"/>
      <c r="F268" s="12"/>
      <c r="G268" s="12"/>
      <c r="H268" s="12"/>
      <c r="I268" s="12"/>
      <c r="J268" s="12"/>
      <c r="K268" s="12"/>
      <c r="L268" s="12"/>
    </row>
    <row r="269" spans="1:12">
      <c r="A269" s="11"/>
      <c r="B269" s="12"/>
      <c r="C269" s="12"/>
      <c r="D269" s="12"/>
      <c r="E269" s="12"/>
      <c r="F269" s="12"/>
      <c r="G269" s="12"/>
      <c r="H269" s="12"/>
      <c r="I269" s="12"/>
      <c r="J269" s="12"/>
      <c r="K269" s="12"/>
      <c r="L269" s="12"/>
    </row>
    <row r="270" spans="1:12">
      <c r="A270" s="11"/>
      <c r="B270" s="12"/>
      <c r="C270" s="12"/>
      <c r="D270" s="12"/>
      <c r="E270" s="12"/>
      <c r="F270" s="12"/>
      <c r="G270" s="12"/>
      <c r="H270" s="12"/>
      <c r="I270" s="12"/>
      <c r="J270" s="12"/>
      <c r="K270" s="12"/>
      <c r="L270" s="12"/>
    </row>
    <row r="271" spans="1:12">
      <c r="A271" s="11"/>
      <c r="B271" s="12"/>
      <c r="C271" s="12"/>
      <c r="D271" s="12"/>
      <c r="E271" s="12"/>
      <c r="F271" s="12"/>
      <c r="G271" s="12"/>
      <c r="H271" s="12"/>
      <c r="I271" s="12"/>
      <c r="J271" s="12"/>
      <c r="K271" s="12"/>
      <c r="L271" s="12"/>
    </row>
    <row r="272" spans="1:12">
      <c r="A272" s="11"/>
      <c r="B272" s="12"/>
      <c r="C272" s="12"/>
      <c r="D272" s="12"/>
      <c r="E272" s="12"/>
      <c r="F272" s="12"/>
      <c r="G272" s="12"/>
      <c r="H272" s="12"/>
      <c r="I272" s="12"/>
      <c r="J272" s="12"/>
      <c r="K272" s="12"/>
      <c r="L272" s="12"/>
    </row>
    <row r="273" spans="1:12">
      <c r="A273" s="11"/>
      <c r="B273" s="12"/>
      <c r="C273" s="12"/>
      <c r="D273" s="12"/>
      <c r="E273" s="12"/>
      <c r="F273" s="12"/>
      <c r="G273" s="12"/>
      <c r="H273" s="12"/>
      <c r="I273" s="12"/>
      <c r="J273" s="12"/>
      <c r="K273" s="12"/>
      <c r="L273" s="12"/>
    </row>
    <row r="274" spans="1:12">
      <c r="A274" s="11"/>
      <c r="B274" s="12"/>
      <c r="C274" s="12"/>
      <c r="D274" s="12"/>
      <c r="E274" s="12"/>
      <c r="F274" s="12"/>
      <c r="G274" s="12"/>
      <c r="H274" s="12"/>
      <c r="I274" s="12"/>
      <c r="J274" s="12"/>
      <c r="K274" s="12"/>
      <c r="L274" s="12"/>
    </row>
    <row r="275" spans="1:12">
      <c r="A275" s="11"/>
      <c r="B275" s="12"/>
      <c r="C275" s="12"/>
      <c r="D275" s="12"/>
      <c r="E275" s="12"/>
      <c r="F275" s="12"/>
      <c r="G275" s="12"/>
      <c r="H275" s="12"/>
      <c r="I275" s="12"/>
      <c r="J275" s="12"/>
      <c r="K275" s="12"/>
      <c r="L275" s="12"/>
    </row>
    <row r="276" spans="1:12">
      <c r="A276" s="11"/>
      <c r="B276" s="12"/>
      <c r="C276" s="12"/>
      <c r="D276" s="12"/>
      <c r="E276" s="12"/>
      <c r="F276" s="12"/>
      <c r="G276" s="12"/>
      <c r="H276" s="12"/>
      <c r="I276" s="12"/>
      <c r="J276" s="12"/>
      <c r="K276" s="12"/>
      <c r="L276" s="12"/>
    </row>
    <row r="277" spans="1:12">
      <c r="A277" s="11"/>
      <c r="B277" s="12"/>
      <c r="C277" s="12"/>
      <c r="D277" s="12"/>
      <c r="E277" s="12"/>
      <c r="F277" s="12"/>
      <c r="G277" s="12"/>
      <c r="H277" s="12"/>
      <c r="I277" s="12"/>
      <c r="J277" s="12"/>
      <c r="K277" s="12"/>
      <c r="L277" s="12"/>
    </row>
    <row r="278" spans="1:12">
      <c r="A278" s="11"/>
      <c r="B278" s="12"/>
      <c r="C278" s="12"/>
      <c r="D278" s="12"/>
      <c r="E278" s="12"/>
      <c r="F278" s="12"/>
      <c r="G278" s="12"/>
      <c r="H278" s="12"/>
      <c r="I278" s="12"/>
      <c r="J278" s="12"/>
      <c r="K278" s="12"/>
      <c r="L278" s="12"/>
    </row>
    <row r="279" spans="1:12">
      <c r="A279" s="11"/>
      <c r="B279" s="12"/>
      <c r="C279" s="12"/>
      <c r="D279" s="12"/>
      <c r="E279" s="12"/>
      <c r="F279" s="12"/>
      <c r="G279" s="12"/>
      <c r="H279" s="12"/>
      <c r="I279" s="12"/>
      <c r="J279" s="12"/>
      <c r="K279" s="12"/>
      <c r="L279" s="12"/>
    </row>
    <row r="280" spans="1:12">
      <c r="A280" s="11"/>
      <c r="B280" s="12"/>
      <c r="C280" s="12"/>
      <c r="D280" s="12"/>
      <c r="E280" s="12"/>
      <c r="F280" s="12"/>
      <c r="G280" s="12"/>
      <c r="H280" s="12"/>
      <c r="I280" s="12"/>
      <c r="J280" s="12"/>
      <c r="K280" s="12"/>
      <c r="L280" s="12"/>
    </row>
    <row r="281" spans="1:12">
      <c r="A281" s="11"/>
      <c r="B281" s="12"/>
      <c r="C281" s="12"/>
      <c r="D281" s="12"/>
      <c r="E281" s="12"/>
      <c r="F281" s="12"/>
      <c r="G281" s="12"/>
      <c r="H281" s="12"/>
      <c r="I281" s="12"/>
      <c r="J281" s="12"/>
      <c r="K281" s="12"/>
      <c r="L281" s="12"/>
    </row>
    <row r="282" spans="1:12">
      <c r="A282" s="11"/>
      <c r="B282" s="12"/>
      <c r="C282" s="12"/>
      <c r="D282" s="12"/>
      <c r="E282" s="12"/>
      <c r="F282" s="12"/>
      <c r="G282" s="12"/>
      <c r="H282" s="12"/>
      <c r="I282" s="12"/>
      <c r="J282" s="12"/>
      <c r="K282" s="12"/>
      <c r="L282" s="12"/>
    </row>
    <row r="283" spans="1:12">
      <c r="A283" s="11"/>
      <c r="B283" s="12"/>
      <c r="C283" s="12"/>
      <c r="D283" s="12"/>
      <c r="E283" s="12"/>
      <c r="F283" s="12"/>
      <c r="G283" s="12"/>
      <c r="H283" s="12"/>
      <c r="I283" s="12"/>
      <c r="J283" s="12"/>
      <c r="K283" s="12"/>
      <c r="L283" s="12"/>
    </row>
    <row r="284" spans="1:12">
      <c r="A284" s="11"/>
      <c r="B284" s="12"/>
      <c r="C284" s="12"/>
      <c r="D284" s="12"/>
      <c r="E284" s="12"/>
      <c r="F284" s="12"/>
      <c r="G284" s="12"/>
      <c r="H284" s="12"/>
      <c r="I284" s="12"/>
      <c r="J284" s="12"/>
      <c r="K284" s="12"/>
      <c r="L284" s="12"/>
    </row>
    <row r="285" spans="1:12">
      <c r="A285" s="11"/>
      <c r="B285" s="12"/>
      <c r="C285" s="12"/>
      <c r="D285" s="12"/>
      <c r="E285" s="12"/>
      <c r="F285" s="12"/>
      <c r="G285" s="12"/>
      <c r="H285" s="12"/>
      <c r="I285" s="12"/>
      <c r="J285" s="12"/>
      <c r="K285" s="12"/>
      <c r="L285" s="12"/>
    </row>
    <row r="286" spans="1:12">
      <c r="A286" s="11"/>
      <c r="B286" s="12"/>
      <c r="C286" s="12"/>
      <c r="D286" s="12"/>
      <c r="E286" s="12"/>
      <c r="F286" s="12"/>
      <c r="G286" s="12"/>
      <c r="H286" s="12"/>
      <c r="I286" s="12"/>
      <c r="J286" s="12"/>
      <c r="K286" s="12"/>
      <c r="L286" s="12"/>
    </row>
    <row r="287" spans="1:12">
      <c r="A287" s="11"/>
      <c r="B287" s="12"/>
      <c r="C287" s="12"/>
      <c r="D287" s="12"/>
      <c r="E287" s="12"/>
      <c r="F287" s="12"/>
      <c r="G287" s="12"/>
      <c r="H287" s="12"/>
      <c r="I287" s="12"/>
      <c r="J287" s="12"/>
      <c r="K287" s="12"/>
      <c r="L287" s="12"/>
    </row>
    <row r="288" spans="1:12">
      <c r="A288" s="11"/>
      <c r="B288" s="12"/>
      <c r="C288" s="12"/>
      <c r="D288" s="12"/>
      <c r="E288" s="12"/>
      <c r="F288" s="12"/>
      <c r="G288" s="12"/>
      <c r="H288" s="12"/>
      <c r="I288" s="12"/>
      <c r="J288" s="12"/>
      <c r="K288" s="12"/>
      <c r="L288" s="12"/>
    </row>
    <row r="289" spans="1:12">
      <c r="A289" s="11"/>
      <c r="B289" s="12"/>
      <c r="C289" s="12"/>
      <c r="D289" s="12"/>
      <c r="E289" s="12"/>
      <c r="F289" s="12"/>
      <c r="G289" s="12"/>
      <c r="H289" s="12"/>
      <c r="I289" s="12"/>
      <c r="J289" s="12"/>
      <c r="K289" s="12"/>
      <c r="L289" s="12"/>
    </row>
    <row r="290" spans="1:12">
      <c r="A290" s="11"/>
      <c r="B290" s="12"/>
      <c r="C290" s="12"/>
      <c r="D290" s="12"/>
      <c r="E290" s="12"/>
      <c r="F290" s="12"/>
      <c r="G290" s="12"/>
      <c r="H290" s="12"/>
      <c r="I290" s="12"/>
      <c r="J290" s="12"/>
      <c r="K290" s="12"/>
      <c r="L290" s="12"/>
    </row>
    <row r="291" spans="1:12">
      <c r="A291" s="11"/>
      <c r="B291" s="12"/>
      <c r="C291" s="12"/>
      <c r="D291" s="12"/>
      <c r="E291" s="12"/>
      <c r="F291" s="12"/>
      <c r="G291" s="12"/>
      <c r="H291" s="12"/>
      <c r="I291" s="12"/>
      <c r="J291" s="12"/>
      <c r="K291" s="12"/>
      <c r="L291" s="12"/>
    </row>
    <row r="292" spans="1:12">
      <c r="A292" s="11"/>
      <c r="B292" s="12"/>
      <c r="C292" s="12"/>
      <c r="D292" s="12"/>
      <c r="E292" s="12"/>
      <c r="F292" s="12"/>
      <c r="G292" s="12"/>
      <c r="H292" s="12"/>
      <c r="I292" s="12"/>
      <c r="J292" s="12"/>
      <c r="K292" s="12"/>
      <c r="L292" s="12"/>
    </row>
    <row r="293" spans="1:12">
      <c r="A293" s="11"/>
      <c r="B293" s="12"/>
      <c r="C293" s="12"/>
      <c r="D293" s="12"/>
      <c r="E293" s="12"/>
      <c r="F293" s="12"/>
      <c r="G293" s="12"/>
      <c r="H293" s="12"/>
      <c r="I293" s="12"/>
      <c r="J293" s="12"/>
      <c r="K293" s="12"/>
      <c r="L293" s="12"/>
    </row>
    <row r="294" spans="1:12">
      <c r="A294" s="11"/>
      <c r="B294" s="12"/>
      <c r="C294" s="12"/>
      <c r="D294" s="12"/>
      <c r="E294" s="12"/>
      <c r="F294" s="12"/>
      <c r="G294" s="12"/>
      <c r="H294" s="12"/>
      <c r="I294" s="12"/>
      <c r="J294" s="12"/>
      <c r="K294" s="12"/>
      <c r="L294" s="12"/>
    </row>
    <row r="295" spans="1:12">
      <c r="A295" s="11"/>
      <c r="B295" s="12"/>
      <c r="C295" s="12"/>
      <c r="D295" s="12"/>
      <c r="E295" s="12"/>
      <c r="F295" s="12"/>
      <c r="G295" s="12"/>
      <c r="H295" s="12"/>
      <c r="I295" s="12"/>
      <c r="J295" s="12"/>
      <c r="K295" s="12"/>
      <c r="L295" s="12"/>
    </row>
    <row r="296" spans="1:12">
      <c r="A296" s="11"/>
      <c r="B296" s="12"/>
      <c r="C296" s="12"/>
      <c r="D296" s="12"/>
      <c r="E296" s="12"/>
      <c r="F296" s="12"/>
      <c r="G296" s="12"/>
      <c r="H296" s="12"/>
      <c r="I296" s="12"/>
      <c r="J296" s="12"/>
      <c r="K296" s="12"/>
      <c r="L296" s="12"/>
    </row>
    <row r="297" spans="1:12">
      <c r="A297" s="11"/>
      <c r="B297" s="12"/>
      <c r="C297" s="12"/>
      <c r="D297" s="12"/>
      <c r="E297" s="12"/>
      <c r="F297" s="12"/>
      <c r="G297" s="12"/>
      <c r="H297" s="12"/>
      <c r="I297" s="12"/>
      <c r="J297" s="12"/>
      <c r="K297" s="12"/>
      <c r="L297" s="12"/>
    </row>
    <row r="298" spans="1:12">
      <c r="A298" s="11"/>
      <c r="B298" s="12"/>
      <c r="C298" s="12"/>
      <c r="D298" s="12"/>
      <c r="E298" s="12"/>
      <c r="F298" s="12"/>
      <c r="G298" s="12"/>
      <c r="H298" s="12"/>
      <c r="I298" s="12"/>
      <c r="J298" s="12"/>
      <c r="K298" s="12"/>
      <c r="L298" s="12"/>
    </row>
    <row r="299" spans="1:12">
      <c r="A299" s="11"/>
      <c r="B299" s="12"/>
      <c r="C299" s="12"/>
      <c r="D299" s="12"/>
      <c r="E299" s="12"/>
      <c r="F299" s="12"/>
      <c r="G299" s="12"/>
      <c r="H299" s="12"/>
      <c r="I299" s="12"/>
      <c r="J299" s="12"/>
      <c r="K299" s="12"/>
      <c r="L299" s="12"/>
    </row>
    <row r="300" spans="1:12">
      <c r="A300" s="11"/>
      <c r="B300" s="12"/>
      <c r="C300" s="12"/>
      <c r="D300" s="12"/>
      <c r="E300" s="12"/>
      <c r="F300" s="12"/>
      <c r="G300" s="12"/>
      <c r="H300" s="12"/>
      <c r="I300" s="12"/>
      <c r="J300" s="12"/>
      <c r="K300" s="12"/>
      <c r="L300" s="12"/>
    </row>
    <row r="301" spans="1:12">
      <c r="A301" s="11"/>
      <c r="B301" s="12"/>
      <c r="C301" s="12"/>
      <c r="D301" s="12"/>
      <c r="E301" s="12"/>
      <c r="F301" s="12"/>
      <c r="G301" s="12"/>
      <c r="H301" s="12"/>
      <c r="I301" s="12"/>
      <c r="J301" s="12"/>
      <c r="K301" s="12"/>
      <c r="L301" s="12"/>
    </row>
    <row r="302" spans="1:12">
      <c r="A302" s="11"/>
      <c r="B302" s="12"/>
      <c r="C302" s="12"/>
      <c r="D302" s="12"/>
      <c r="E302" s="12"/>
      <c r="F302" s="12"/>
      <c r="G302" s="12"/>
      <c r="H302" s="12"/>
      <c r="I302" s="12"/>
      <c r="J302" s="12"/>
      <c r="K302" s="12"/>
      <c r="L302" s="12"/>
    </row>
    <row r="303" spans="1:12">
      <c r="A303" s="11"/>
      <c r="B303" s="12"/>
      <c r="C303" s="12"/>
      <c r="D303" s="12"/>
      <c r="E303" s="12"/>
      <c r="F303" s="12"/>
      <c r="G303" s="12"/>
      <c r="H303" s="12"/>
      <c r="I303" s="12"/>
      <c r="J303" s="12"/>
      <c r="K303" s="12"/>
      <c r="L303" s="12"/>
    </row>
    <row r="304" spans="1:12">
      <c r="A304" s="11"/>
      <c r="B304" s="12"/>
      <c r="C304" s="12"/>
      <c r="D304" s="12"/>
      <c r="E304" s="12"/>
      <c r="F304" s="12"/>
      <c r="G304" s="12"/>
      <c r="H304" s="12"/>
      <c r="I304" s="12"/>
      <c r="J304" s="12"/>
      <c r="K304" s="12"/>
      <c r="L304" s="12"/>
    </row>
    <row r="305" spans="1:12">
      <c r="A305" s="11"/>
      <c r="B305" s="12"/>
      <c r="C305" s="12"/>
      <c r="D305" s="12"/>
      <c r="E305" s="12"/>
      <c r="F305" s="12"/>
      <c r="G305" s="12"/>
      <c r="H305" s="12"/>
      <c r="I305" s="12"/>
      <c r="J305" s="12"/>
      <c r="K305" s="12"/>
      <c r="L305" s="12"/>
    </row>
    <row r="306" spans="1:12">
      <c r="A306" s="11"/>
      <c r="B306" s="12"/>
      <c r="C306" s="12"/>
      <c r="D306" s="12"/>
      <c r="E306" s="12"/>
      <c r="F306" s="12"/>
      <c r="G306" s="12"/>
      <c r="H306" s="12"/>
      <c r="I306" s="12"/>
      <c r="J306" s="12"/>
      <c r="K306" s="12"/>
      <c r="L306" s="12"/>
    </row>
    <row r="307" spans="1:12">
      <c r="A307" s="11"/>
      <c r="B307" s="12"/>
      <c r="C307" s="12"/>
      <c r="D307" s="12"/>
      <c r="E307" s="12"/>
      <c r="F307" s="12"/>
      <c r="G307" s="12"/>
      <c r="H307" s="12"/>
      <c r="I307" s="12"/>
      <c r="J307" s="12"/>
      <c r="K307" s="12"/>
      <c r="L307" s="12"/>
    </row>
    <row r="308" spans="1:12">
      <c r="A308" s="11"/>
      <c r="B308" s="12"/>
      <c r="C308" s="12"/>
      <c r="D308" s="12"/>
      <c r="E308" s="12"/>
      <c r="F308" s="12"/>
      <c r="G308" s="12"/>
      <c r="H308" s="12"/>
      <c r="I308" s="12"/>
      <c r="J308" s="12"/>
      <c r="K308" s="12"/>
      <c r="L308" s="12"/>
    </row>
    <row r="309" spans="1:12">
      <c r="A309" s="11"/>
      <c r="B309" s="12"/>
      <c r="C309" s="12"/>
      <c r="D309" s="12"/>
      <c r="E309" s="12"/>
      <c r="F309" s="12"/>
      <c r="G309" s="12"/>
      <c r="H309" s="12"/>
      <c r="I309" s="12"/>
      <c r="J309" s="12"/>
      <c r="K309" s="12"/>
      <c r="L309" s="12"/>
    </row>
    <row r="310" spans="1:12">
      <c r="A310" s="11"/>
      <c r="B310" s="12"/>
      <c r="C310" s="12"/>
      <c r="D310" s="12"/>
      <c r="E310" s="12"/>
      <c r="F310" s="12"/>
      <c r="G310" s="12"/>
      <c r="H310" s="12"/>
      <c r="I310" s="12"/>
      <c r="J310" s="12"/>
      <c r="K310" s="12"/>
      <c r="L310" s="12"/>
    </row>
    <row r="311" spans="1:12">
      <c r="A311" s="11"/>
      <c r="B311" s="12"/>
      <c r="C311" s="12"/>
      <c r="D311" s="12"/>
      <c r="E311" s="12"/>
      <c r="F311" s="12"/>
      <c r="G311" s="12"/>
      <c r="H311" s="12"/>
      <c r="I311" s="12"/>
      <c r="J311" s="12"/>
      <c r="K311" s="12"/>
      <c r="L311" s="12"/>
    </row>
    <row r="312" spans="1:12">
      <c r="A312" s="11"/>
      <c r="B312" s="12"/>
      <c r="C312" s="12"/>
      <c r="D312" s="12"/>
      <c r="E312" s="12"/>
      <c r="F312" s="12"/>
      <c r="G312" s="12"/>
      <c r="H312" s="12"/>
      <c r="I312" s="12"/>
      <c r="J312" s="12"/>
      <c r="K312" s="12"/>
      <c r="L312" s="12"/>
    </row>
    <row r="313" spans="1:12">
      <c r="A313" s="11"/>
      <c r="B313" s="12"/>
      <c r="C313" s="12"/>
      <c r="D313" s="12"/>
      <c r="E313" s="12"/>
      <c r="F313" s="12"/>
      <c r="G313" s="12"/>
      <c r="H313" s="12"/>
      <c r="I313" s="12"/>
      <c r="J313" s="12"/>
      <c r="K313" s="12"/>
      <c r="L313" s="12"/>
    </row>
    <row r="314" spans="1:12">
      <c r="A314" s="11"/>
      <c r="B314" s="12"/>
      <c r="C314" s="12"/>
      <c r="D314" s="12"/>
      <c r="E314" s="12"/>
      <c r="F314" s="12"/>
      <c r="G314" s="12"/>
      <c r="H314" s="12"/>
      <c r="I314" s="12"/>
      <c r="J314" s="12"/>
      <c r="K314" s="12"/>
      <c r="L314" s="12"/>
    </row>
    <row r="315" spans="1:12">
      <c r="A315" s="11"/>
      <c r="B315" s="12"/>
      <c r="C315" s="12"/>
      <c r="D315" s="12"/>
      <c r="E315" s="12"/>
      <c r="F315" s="12"/>
      <c r="G315" s="12"/>
      <c r="H315" s="12"/>
      <c r="I315" s="12"/>
      <c r="J315" s="12"/>
      <c r="K315" s="12"/>
      <c r="L315" s="12"/>
    </row>
    <row r="316" spans="1:12">
      <c r="A316" s="11"/>
      <c r="B316" s="12"/>
      <c r="C316" s="12"/>
      <c r="D316" s="12"/>
      <c r="E316" s="12"/>
      <c r="F316" s="12"/>
      <c r="G316" s="12"/>
      <c r="H316" s="12"/>
      <c r="I316" s="12"/>
      <c r="J316" s="12"/>
      <c r="K316" s="12"/>
      <c r="L316" s="12"/>
    </row>
    <row r="317" spans="1:12">
      <c r="A317" s="11"/>
      <c r="B317" s="12"/>
      <c r="C317" s="12"/>
      <c r="D317" s="12"/>
      <c r="E317" s="12"/>
      <c r="F317" s="12"/>
      <c r="G317" s="12"/>
      <c r="H317" s="12"/>
      <c r="I317" s="12"/>
      <c r="J317" s="12"/>
      <c r="K317" s="12"/>
      <c r="L317" s="12"/>
    </row>
    <row r="318" spans="1:12">
      <c r="A318" s="11"/>
      <c r="B318" s="12"/>
      <c r="C318" s="12"/>
      <c r="D318" s="12"/>
      <c r="E318" s="12"/>
      <c r="F318" s="12"/>
      <c r="G318" s="12"/>
      <c r="H318" s="12"/>
      <c r="I318" s="12"/>
      <c r="J318" s="12"/>
      <c r="K318" s="12"/>
      <c r="L318" s="12"/>
    </row>
    <row r="319" spans="1:12">
      <c r="A319" s="11"/>
      <c r="B319" s="12"/>
      <c r="C319" s="12"/>
      <c r="D319" s="12"/>
      <c r="E319" s="12"/>
      <c r="F319" s="12"/>
      <c r="G319" s="12"/>
      <c r="H319" s="12"/>
      <c r="I319" s="12"/>
      <c r="J319" s="12"/>
      <c r="K319" s="12"/>
      <c r="L319" s="12"/>
    </row>
    <row r="320" spans="1:12">
      <c r="A320" s="11"/>
      <c r="B320" s="12"/>
      <c r="C320" s="12"/>
      <c r="D320" s="12"/>
      <c r="E320" s="12"/>
      <c r="F320" s="12"/>
      <c r="G320" s="12"/>
      <c r="H320" s="12"/>
      <c r="I320" s="12"/>
      <c r="J320" s="12"/>
      <c r="K320" s="12"/>
      <c r="L320" s="12"/>
    </row>
    <row r="321" spans="1:12">
      <c r="A321" s="11"/>
      <c r="B321" s="12"/>
      <c r="C321" s="12"/>
      <c r="D321" s="12"/>
      <c r="E321" s="12"/>
      <c r="F321" s="12"/>
      <c r="G321" s="12"/>
      <c r="H321" s="12"/>
      <c r="I321" s="12"/>
      <c r="J321" s="12"/>
      <c r="K321" s="12"/>
      <c r="L321" s="12"/>
    </row>
    <row r="322" spans="1:12">
      <c r="A322" s="11"/>
      <c r="B322" s="12"/>
      <c r="C322" s="12"/>
      <c r="D322" s="12"/>
      <c r="E322" s="12"/>
      <c r="F322" s="12"/>
      <c r="G322" s="12"/>
      <c r="H322" s="12"/>
      <c r="I322" s="12"/>
      <c r="J322" s="12"/>
      <c r="K322" s="12"/>
      <c r="L322" s="12"/>
    </row>
    <row r="323" spans="1:12">
      <c r="A323" s="11"/>
      <c r="B323" s="12"/>
      <c r="C323" s="12"/>
      <c r="D323" s="12"/>
      <c r="E323" s="12"/>
      <c r="F323" s="12"/>
      <c r="G323" s="12"/>
      <c r="H323" s="12"/>
      <c r="I323" s="12"/>
      <c r="J323" s="12"/>
      <c r="K323" s="12"/>
      <c r="L323" s="12"/>
    </row>
    <row r="324" spans="1:12">
      <c r="A324" s="11"/>
      <c r="B324" s="12"/>
      <c r="C324" s="12"/>
      <c r="D324" s="12"/>
      <c r="E324" s="12"/>
      <c r="F324" s="12"/>
      <c r="G324" s="12"/>
      <c r="H324" s="12"/>
      <c r="I324" s="12"/>
      <c r="J324" s="12"/>
      <c r="K324" s="12"/>
      <c r="L324" s="12"/>
    </row>
    <row r="325" spans="1:12">
      <c r="A325" s="11"/>
      <c r="B325" s="12"/>
      <c r="C325" s="12"/>
      <c r="D325" s="12"/>
      <c r="E325" s="12"/>
      <c r="F325" s="12"/>
      <c r="G325" s="12"/>
      <c r="H325" s="12"/>
      <c r="I325" s="12"/>
      <c r="J325" s="12"/>
      <c r="K325" s="12"/>
      <c r="L325" s="12"/>
    </row>
    <row r="326" spans="1:12">
      <c r="A326" s="11"/>
      <c r="B326" s="12"/>
      <c r="C326" s="12"/>
      <c r="D326" s="12"/>
      <c r="E326" s="12"/>
      <c r="F326" s="12"/>
      <c r="G326" s="12"/>
      <c r="H326" s="12"/>
      <c r="I326" s="12"/>
      <c r="J326" s="12"/>
      <c r="K326" s="12"/>
      <c r="L326" s="12"/>
    </row>
    <row r="327" spans="1:12">
      <c r="A327" s="11"/>
      <c r="B327" s="12"/>
      <c r="C327" s="12"/>
      <c r="D327" s="12"/>
      <c r="E327" s="12"/>
      <c r="F327" s="12"/>
      <c r="G327" s="12"/>
      <c r="H327" s="12"/>
      <c r="I327" s="12"/>
      <c r="J327" s="12"/>
      <c r="K327" s="12"/>
      <c r="L327" s="12"/>
    </row>
    <row r="328" spans="1:12">
      <c r="A328" s="11"/>
      <c r="B328" s="12"/>
      <c r="C328" s="12"/>
      <c r="D328" s="12"/>
      <c r="E328" s="12"/>
      <c r="F328" s="12"/>
      <c r="G328" s="12"/>
      <c r="H328" s="12"/>
      <c r="I328" s="12"/>
      <c r="J328" s="12"/>
      <c r="K328" s="12"/>
      <c r="L328" s="12"/>
    </row>
    <row r="329" spans="1:12">
      <c r="A329" s="11"/>
      <c r="B329" s="12"/>
      <c r="C329" s="12"/>
      <c r="D329" s="12"/>
      <c r="E329" s="12"/>
      <c r="F329" s="12"/>
      <c r="G329" s="12"/>
      <c r="H329" s="12"/>
      <c r="I329" s="12"/>
      <c r="J329" s="12"/>
      <c r="K329" s="12"/>
      <c r="L329" s="12"/>
    </row>
    <row r="330" spans="1:12">
      <c r="A330" s="11"/>
      <c r="B330" s="12"/>
      <c r="C330" s="12"/>
      <c r="D330" s="12"/>
      <c r="E330" s="12"/>
      <c r="F330" s="12"/>
      <c r="G330" s="12"/>
      <c r="H330" s="12"/>
      <c r="I330" s="12"/>
      <c r="J330" s="12"/>
      <c r="K330" s="12"/>
      <c r="L330" s="12"/>
    </row>
    <row r="331" spans="1:12">
      <c r="A331" s="11"/>
      <c r="B331" s="12"/>
      <c r="C331" s="12"/>
      <c r="D331" s="12"/>
      <c r="E331" s="12"/>
      <c r="F331" s="12"/>
      <c r="G331" s="12"/>
      <c r="H331" s="12"/>
      <c r="I331" s="12"/>
      <c r="J331" s="12"/>
      <c r="K331" s="12"/>
      <c r="L331" s="12"/>
    </row>
    <row r="332" spans="1:12">
      <c r="A332" s="11"/>
      <c r="B332" s="12"/>
      <c r="C332" s="12"/>
      <c r="D332" s="12"/>
      <c r="E332" s="12"/>
      <c r="F332" s="12"/>
      <c r="G332" s="12"/>
      <c r="H332" s="12"/>
      <c r="I332" s="12"/>
      <c r="J332" s="12"/>
      <c r="K332" s="12"/>
      <c r="L332" s="12"/>
    </row>
    <row r="333" spans="1:12">
      <c r="A333" s="11"/>
      <c r="B333" s="12"/>
      <c r="C333" s="12"/>
      <c r="D333" s="12"/>
      <c r="E333" s="12"/>
      <c r="F333" s="12"/>
      <c r="G333" s="12"/>
      <c r="H333" s="12"/>
      <c r="I333" s="12"/>
      <c r="J333" s="12"/>
      <c r="K333" s="12"/>
      <c r="L333" s="12"/>
    </row>
    <row r="334" spans="1:12">
      <c r="A334" s="11"/>
      <c r="B334" s="12"/>
      <c r="C334" s="12"/>
      <c r="D334" s="12"/>
      <c r="E334" s="12"/>
      <c r="F334" s="12"/>
      <c r="G334" s="12"/>
      <c r="H334" s="12"/>
      <c r="I334" s="12"/>
      <c r="J334" s="12"/>
      <c r="K334" s="12"/>
      <c r="L334" s="12"/>
    </row>
    <row r="335" spans="1:12">
      <c r="A335" s="11"/>
      <c r="B335" s="12"/>
      <c r="C335" s="12"/>
      <c r="D335" s="12"/>
      <c r="E335" s="12"/>
      <c r="F335" s="12"/>
      <c r="G335" s="12"/>
      <c r="H335" s="12"/>
      <c r="I335" s="12"/>
      <c r="J335" s="12"/>
      <c r="K335" s="12"/>
      <c r="L335" s="12"/>
    </row>
    <row r="336" spans="1:12">
      <c r="A336" s="11"/>
      <c r="B336" s="12"/>
      <c r="C336" s="12"/>
      <c r="D336" s="12"/>
      <c r="E336" s="12"/>
      <c r="F336" s="12"/>
      <c r="G336" s="12"/>
      <c r="H336" s="12"/>
      <c r="I336" s="12"/>
      <c r="J336" s="12"/>
      <c r="K336" s="12"/>
      <c r="L336" s="12"/>
    </row>
    <row r="337" spans="1:12">
      <c r="A337" s="11"/>
      <c r="B337" s="12"/>
      <c r="C337" s="12"/>
      <c r="D337" s="12"/>
      <c r="E337" s="12"/>
      <c r="F337" s="12"/>
      <c r="G337" s="12"/>
      <c r="H337" s="12"/>
      <c r="I337" s="12"/>
      <c r="J337" s="12"/>
      <c r="K337" s="12"/>
      <c r="L337" s="12"/>
    </row>
    <row r="338" spans="1:12">
      <c r="A338" s="11"/>
      <c r="B338" s="12"/>
      <c r="C338" s="12"/>
      <c r="D338" s="12"/>
      <c r="E338" s="12"/>
      <c r="F338" s="12"/>
      <c r="G338" s="12"/>
      <c r="H338" s="12"/>
      <c r="I338" s="12"/>
      <c r="J338" s="12"/>
      <c r="K338" s="12"/>
      <c r="L338" s="12"/>
    </row>
    <row r="339" spans="1:12">
      <c r="A339" s="11"/>
      <c r="B339" s="12"/>
      <c r="C339" s="12"/>
      <c r="D339" s="12"/>
      <c r="E339" s="12"/>
      <c r="F339" s="12"/>
      <c r="G339" s="12"/>
      <c r="H339" s="12"/>
      <c r="I339" s="12"/>
      <c r="J339" s="12"/>
      <c r="K339" s="12"/>
      <c r="L339" s="12"/>
    </row>
    <row r="340" spans="1:12">
      <c r="A340" s="11"/>
      <c r="B340" s="12"/>
      <c r="C340" s="12"/>
      <c r="D340" s="12"/>
      <c r="E340" s="12"/>
      <c r="F340" s="12"/>
      <c r="G340" s="12"/>
      <c r="H340" s="12"/>
      <c r="I340" s="12"/>
      <c r="J340" s="12"/>
      <c r="K340" s="12"/>
      <c r="L340" s="12"/>
    </row>
    <row r="341" spans="1:12">
      <c r="A341" s="11"/>
      <c r="B341" s="12"/>
      <c r="C341" s="12"/>
      <c r="D341" s="12"/>
      <c r="E341" s="12"/>
      <c r="F341" s="12"/>
      <c r="G341" s="12"/>
      <c r="H341" s="12"/>
      <c r="I341" s="12"/>
      <c r="J341" s="12"/>
      <c r="K341" s="12"/>
      <c r="L341" s="12"/>
    </row>
    <row r="342" spans="1:12">
      <c r="A342" s="11"/>
      <c r="B342" s="12"/>
      <c r="C342" s="12"/>
      <c r="D342" s="12"/>
      <c r="E342" s="12"/>
      <c r="F342" s="12"/>
      <c r="G342" s="12"/>
      <c r="H342" s="12"/>
      <c r="I342" s="12"/>
      <c r="J342" s="12"/>
      <c r="K342" s="12"/>
      <c r="L342" s="12"/>
    </row>
    <row r="343" spans="1:12">
      <c r="A343" s="11"/>
      <c r="B343" s="12"/>
      <c r="C343" s="12"/>
      <c r="D343" s="12"/>
      <c r="E343" s="12"/>
      <c r="F343" s="12"/>
      <c r="G343" s="12"/>
      <c r="H343" s="12"/>
      <c r="I343" s="12"/>
      <c r="J343" s="12"/>
      <c r="K343" s="12"/>
      <c r="L343" s="12"/>
    </row>
    <row r="344" spans="1:12">
      <c r="A344" s="11"/>
      <c r="B344" s="12"/>
      <c r="C344" s="12"/>
      <c r="D344" s="12"/>
      <c r="E344" s="12"/>
      <c r="F344" s="12"/>
      <c r="G344" s="12"/>
      <c r="H344" s="12"/>
      <c r="I344" s="12"/>
      <c r="J344" s="12"/>
      <c r="K344" s="12"/>
      <c r="L344" s="12"/>
    </row>
    <row r="345" spans="1:12">
      <c r="A345" s="11"/>
      <c r="B345" s="12"/>
      <c r="C345" s="12"/>
      <c r="D345" s="12"/>
      <c r="E345" s="12"/>
      <c r="F345" s="12"/>
      <c r="G345" s="12"/>
      <c r="H345" s="12"/>
      <c r="I345" s="12"/>
      <c r="J345" s="12"/>
      <c r="K345" s="12"/>
      <c r="L345" s="12"/>
    </row>
    <row r="346" spans="1:12">
      <c r="A346" s="11"/>
      <c r="B346" s="12"/>
      <c r="C346" s="12"/>
      <c r="D346" s="12"/>
      <c r="E346" s="12"/>
      <c r="F346" s="12"/>
      <c r="G346" s="12"/>
      <c r="H346" s="12"/>
      <c r="I346" s="12"/>
      <c r="J346" s="12"/>
      <c r="K346" s="12"/>
      <c r="L346" s="12"/>
    </row>
    <row r="347" spans="1:12">
      <c r="A347" s="11"/>
      <c r="B347" s="12"/>
      <c r="C347" s="12"/>
      <c r="D347" s="12"/>
      <c r="E347" s="12"/>
      <c r="F347" s="12"/>
      <c r="G347" s="12"/>
      <c r="H347" s="12"/>
      <c r="I347" s="12"/>
      <c r="J347" s="12"/>
      <c r="K347" s="12"/>
      <c r="L347" s="12"/>
    </row>
    <row r="348" spans="1:12">
      <c r="A348" s="11"/>
      <c r="B348" s="12"/>
      <c r="C348" s="12"/>
      <c r="D348" s="12"/>
      <c r="E348" s="12"/>
      <c r="F348" s="12"/>
      <c r="G348" s="12"/>
      <c r="H348" s="12"/>
      <c r="I348" s="12"/>
      <c r="J348" s="12"/>
      <c r="K348" s="12"/>
      <c r="L348" s="12"/>
    </row>
    <row r="349" spans="1:12">
      <c r="A349" s="11"/>
      <c r="B349" s="12"/>
      <c r="C349" s="12"/>
      <c r="D349" s="12"/>
      <c r="E349" s="12"/>
      <c r="F349" s="12"/>
      <c r="G349" s="12"/>
      <c r="H349" s="12"/>
      <c r="I349" s="12"/>
      <c r="J349" s="12"/>
      <c r="K349" s="12"/>
      <c r="L349" s="12"/>
    </row>
    <row r="350" spans="1:12">
      <c r="A350" s="11"/>
      <c r="B350" s="12"/>
      <c r="C350" s="12"/>
      <c r="D350" s="12"/>
      <c r="E350" s="12"/>
      <c r="F350" s="12"/>
      <c r="G350" s="12"/>
      <c r="H350" s="12"/>
      <c r="I350" s="12"/>
      <c r="J350" s="12"/>
      <c r="K350" s="12"/>
      <c r="L350" s="12"/>
    </row>
    <row r="351" spans="1:12">
      <c r="A351" s="11"/>
      <c r="B351" s="12"/>
      <c r="C351" s="12"/>
      <c r="D351" s="12"/>
      <c r="E351" s="12"/>
      <c r="F351" s="12"/>
      <c r="G351" s="12"/>
      <c r="H351" s="12"/>
      <c r="I351" s="12"/>
      <c r="J351" s="12"/>
      <c r="K351" s="12"/>
      <c r="L351" s="12"/>
    </row>
    <row r="352" spans="1:12">
      <c r="A352" s="11"/>
      <c r="B352" s="12"/>
      <c r="C352" s="12"/>
      <c r="D352" s="12"/>
      <c r="E352" s="12"/>
      <c r="F352" s="12"/>
      <c r="G352" s="12"/>
      <c r="H352" s="12"/>
      <c r="I352" s="12"/>
      <c r="J352" s="12"/>
      <c r="K352" s="12"/>
      <c r="L352" s="12"/>
    </row>
    <row r="353" spans="1:12">
      <c r="A353" s="11"/>
      <c r="B353" s="12"/>
      <c r="C353" s="12"/>
      <c r="D353" s="12"/>
      <c r="E353" s="12"/>
      <c r="F353" s="12"/>
      <c r="G353" s="12"/>
      <c r="H353" s="12"/>
      <c r="I353" s="12"/>
      <c r="J353" s="12"/>
      <c r="K353" s="12"/>
      <c r="L353" s="12"/>
    </row>
    <row r="354" spans="1:12">
      <c r="A354" s="11"/>
      <c r="B354" s="12"/>
      <c r="C354" s="12"/>
      <c r="D354" s="12"/>
      <c r="E354" s="12"/>
      <c r="F354" s="12"/>
      <c r="G354" s="12"/>
      <c r="H354" s="12"/>
      <c r="I354" s="12"/>
      <c r="J354" s="12"/>
      <c r="K354" s="12"/>
      <c r="L354" s="12"/>
    </row>
    <row r="355" spans="1:12">
      <c r="A355" s="11"/>
      <c r="B355" s="12"/>
      <c r="C355" s="12"/>
      <c r="D355" s="12"/>
      <c r="E355" s="12"/>
      <c r="F355" s="12"/>
      <c r="G355" s="12"/>
      <c r="H355" s="12"/>
      <c r="I355" s="12"/>
      <c r="J355" s="12"/>
      <c r="K355" s="12"/>
      <c r="L355" s="12"/>
    </row>
    <row r="356" spans="1:12">
      <c r="A356" s="11"/>
      <c r="B356" s="12"/>
      <c r="C356" s="12"/>
      <c r="D356" s="12"/>
      <c r="E356" s="12"/>
      <c r="F356" s="12"/>
      <c r="G356" s="12"/>
      <c r="H356" s="12"/>
      <c r="I356" s="12"/>
      <c r="J356" s="12"/>
      <c r="K356" s="12"/>
      <c r="L356" s="12"/>
    </row>
    <row r="357" spans="1:12">
      <c r="A357" s="11"/>
      <c r="B357" s="12"/>
      <c r="C357" s="12"/>
      <c r="D357" s="12"/>
      <c r="E357" s="12"/>
      <c r="F357" s="12"/>
      <c r="G357" s="12"/>
      <c r="H357" s="12"/>
      <c r="I357" s="12"/>
      <c r="J357" s="12"/>
      <c r="K357" s="12"/>
      <c r="L357" s="12"/>
    </row>
    <row r="358" spans="1:12">
      <c r="A358" s="11"/>
      <c r="B358" s="12"/>
      <c r="C358" s="12"/>
      <c r="D358" s="12"/>
      <c r="E358" s="12"/>
      <c r="F358" s="12"/>
      <c r="G358" s="12"/>
      <c r="H358" s="12"/>
      <c r="I358" s="12"/>
      <c r="J358" s="12"/>
      <c r="K358" s="12"/>
      <c r="L358" s="12"/>
    </row>
    <row r="359" spans="1:12">
      <c r="A359" s="11"/>
      <c r="B359" s="12"/>
      <c r="C359" s="12"/>
      <c r="D359" s="12"/>
      <c r="E359" s="12"/>
      <c r="F359" s="12"/>
      <c r="G359" s="12"/>
      <c r="H359" s="12"/>
      <c r="I359" s="12"/>
      <c r="J359" s="12"/>
      <c r="K359" s="12"/>
      <c r="L359" s="12"/>
    </row>
    <row r="360" spans="1:12">
      <c r="A360" s="11"/>
      <c r="B360" s="12"/>
      <c r="C360" s="12"/>
      <c r="D360" s="12"/>
      <c r="E360" s="12"/>
      <c r="F360" s="12"/>
      <c r="G360" s="12"/>
      <c r="H360" s="12"/>
      <c r="I360" s="12"/>
      <c r="J360" s="12"/>
      <c r="K360" s="12"/>
      <c r="L360" s="12"/>
    </row>
    <row r="361" spans="1:12">
      <c r="A361" s="11"/>
      <c r="B361" s="12"/>
      <c r="C361" s="12"/>
      <c r="D361" s="12"/>
      <c r="E361" s="12"/>
      <c r="F361" s="12"/>
      <c r="G361" s="12"/>
      <c r="H361" s="12"/>
      <c r="I361" s="12"/>
      <c r="J361" s="12"/>
      <c r="K361" s="12"/>
      <c r="L361" s="12"/>
    </row>
    <row r="362" spans="1:12">
      <c r="A362" s="11"/>
      <c r="B362" s="12"/>
      <c r="C362" s="12"/>
      <c r="D362" s="12"/>
      <c r="E362" s="12"/>
      <c r="F362" s="12"/>
      <c r="G362" s="12"/>
      <c r="H362" s="12"/>
      <c r="I362" s="12"/>
      <c r="J362" s="12"/>
      <c r="K362" s="12"/>
      <c r="L362" s="12"/>
    </row>
    <row r="363" spans="1:12">
      <c r="A363" s="11"/>
      <c r="B363" s="12"/>
      <c r="C363" s="12"/>
      <c r="D363" s="12"/>
      <c r="E363" s="12"/>
      <c r="F363" s="12"/>
      <c r="G363" s="12"/>
      <c r="H363" s="12"/>
      <c r="I363" s="12"/>
      <c r="J363" s="12"/>
      <c r="K363" s="12"/>
      <c r="L363" s="12"/>
    </row>
    <row r="364" spans="1:12">
      <c r="A364" s="11"/>
      <c r="B364" s="12"/>
      <c r="C364" s="12"/>
      <c r="D364" s="12"/>
      <c r="E364" s="12"/>
      <c r="F364" s="12"/>
      <c r="G364" s="12"/>
      <c r="H364" s="12"/>
      <c r="I364" s="12"/>
      <c r="J364" s="12"/>
      <c r="K364" s="12"/>
      <c r="L364" s="12"/>
    </row>
    <row r="365" spans="1:12">
      <c r="A365" s="11"/>
      <c r="B365" s="12"/>
      <c r="C365" s="12"/>
      <c r="D365" s="12"/>
      <c r="E365" s="12"/>
      <c r="F365" s="12"/>
      <c r="G365" s="12"/>
      <c r="H365" s="12"/>
      <c r="I365" s="12"/>
      <c r="J365" s="12"/>
      <c r="K365" s="12"/>
      <c r="L365" s="12"/>
    </row>
    <row r="366" spans="1:12">
      <c r="A366" s="11"/>
      <c r="B366" s="12"/>
      <c r="C366" s="12"/>
      <c r="D366" s="12"/>
      <c r="E366" s="12"/>
      <c r="F366" s="12"/>
      <c r="G366" s="12"/>
      <c r="H366" s="12"/>
      <c r="I366" s="12"/>
      <c r="J366" s="12"/>
      <c r="K366" s="12"/>
      <c r="L366" s="12"/>
    </row>
    <row r="367" spans="1:12">
      <c r="A367" s="11"/>
      <c r="B367" s="12"/>
      <c r="C367" s="12"/>
      <c r="D367" s="12"/>
      <c r="E367" s="12"/>
      <c r="F367" s="12"/>
      <c r="G367" s="12"/>
      <c r="H367" s="12"/>
      <c r="I367" s="12"/>
      <c r="J367" s="12"/>
      <c r="K367" s="12"/>
      <c r="L367" s="12"/>
    </row>
    <row r="368" spans="1:12">
      <c r="A368" s="11"/>
      <c r="B368" s="12"/>
      <c r="C368" s="12"/>
      <c r="D368" s="12"/>
      <c r="E368" s="12"/>
      <c r="F368" s="12"/>
      <c r="G368" s="12"/>
      <c r="H368" s="12"/>
      <c r="I368" s="12"/>
      <c r="J368" s="12"/>
      <c r="K368" s="12"/>
      <c r="L368" s="12"/>
    </row>
    <row r="369" spans="1:12">
      <c r="A369" s="11"/>
      <c r="B369" s="12"/>
      <c r="C369" s="12"/>
      <c r="D369" s="12"/>
      <c r="E369" s="12"/>
      <c r="F369" s="12"/>
      <c r="G369" s="12"/>
      <c r="H369" s="12"/>
      <c r="I369" s="12"/>
      <c r="J369" s="12"/>
      <c r="K369" s="12"/>
      <c r="L369" s="12"/>
    </row>
    <row r="370" spans="1:12">
      <c r="A370" s="11"/>
      <c r="B370" s="12"/>
      <c r="C370" s="12"/>
      <c r="D370" s="12"/>
      <c r="E370" s="12"/>
      <c r="F370" s="12"/>
      <c r="G370" s="12"/>
      <c r="H370" s="12"/>
      <c r="I370" s="12"/>
      <c r="J370" s="12"/>
      <c r="K370" s="12"/>
      <c r="L370" s="12"/>
    </row>
    <row r="371" spans="1:12">
      <c r="A371" s="11"/>
      <c r="B371" s="12"/>
      <c r="C371" s="12"/>
      <c r="D371" s="12"/>
      <c r="E371" s="12"/>
      <c r="F371" s="12"/>
      <c r="G371" s="12"/>
      <c r="H371" s="12"/>
      <c r="I371" s="12"/>
      <c r="J371" s="12"/>
      <c r="K371" s="12"/>
      <c r="L371" s="12"/>
    </row>
    <row r="372" spans="1:12">
      <c r="A372" s="11"/>
      <c r="B372" s="12"/>
      <c r="C372" s="12"/>
      <c r="D372" s="12"/>
      <c r="E372" s="12"/>
      <c r="F372" s="12"/>
      <c r="G372" s="12"/>
      <c r="H372" s="12"/>
      <c r="I372" s="12"/>
      <c r="J372" s="12"/>
      <c r="K372" s="12"/>
      <c r="L372" s="12"/>
    </row>
    <row r="373" spans="1:12">
      <c r="A373" s="11"/>
      <c r="B373" s="12"/>
      <c r="C373" s="12"/>
      <c r="D373" s="12"/>
      <c r="E373" s="12"/>
      <c r="F373" s="12"/>
      <c r="G373" s="12"/>
      <c r="H373" s="12"/>
      <c r="I373" s="12"/>
      <c r="J373" s="12"/>
      <c r="K373" s="12"/>
      <c r="L373" s="12"/>
    </row>
    <row r="374" spans="1:12">
      <c r="A374" s="11"/>
      <c r="B374" s="12"/>
      <c r="C374" s="12"/>
      <c r="D374" s="12"/>
      <c r="E374" s="12"/>
      <c r="F374" s="12"/>
      <c r="G374" s="12"/>
      <c r="H374" s="12"/>
      <c r="I374" s="12"/>
      <c r="J374" s="12"/>
      <c r="K374" s="12"/>
      <c r="L374" s="12"/>
    </row>
    <row r="375" spans="1:12">
      <c r="A375" s="11"/>
      <c r="B375" s="12"/>
      <c r="C375" s="12"/>
      <c r="D375" s="12"/>
      <c r="E375" s="12"/>
      <c r="F375" s="12"/>
      <c r="G375" s="12"/>
      <c r="H375" s="12"/>
      <c r="I375" s="12"/>
      <c r="J375" s="12"/>
      <c r="K375" s="12"/>
      <c r="L375" s="12"/>
    </row>
    <row r="376" spans="1:12">
      <c r="A376" s="11"/>
      <c r="B376" s="12"/>
      <c r="C376" s="12"/>
      <c r="D376" s="12"/>
      <c r="E376" s="12"/>
      <c r="F376" s="12"/>
      <c r="G376" s="12"/>
      <c r="H376" s="12"/>
      <c r="I376" s="12"/>
      <c r="J376" s="12"/>
      <c r="K376" s="12"/>
      <c r="L376" s="12"/>
    </row>
    <row r="377" spans="1:12">
      <c r="A377" s="11"/>
      <c r="B377" s="12"/>
      <c r="C377" s="12"/>
      <c r="D377" s="12"/>
      <c r="E377" s="12"/>
      <c r="F377" s="12"/>
      <c r="G377" s="12"/>
      <c r="H377" s="12"/>
      <c r="I377" s="12"/>
      <c r="J377" s="12"/>
      <c r="K377" s="12"/>
      <c r="L377" s="12"/>
    </row>
    <row r="378" spans="1:12">
      <c r="A378" s="11"/>
      <c r="B378" s="12"/>
      <c r="C378" s="12"/>
      <c r="D378" s="12"/>
      <c r="E378" s="12"/>
      <c r="F378" s="12"/>
      <c r="G378" s="12"/>
      <c r="H378" s="12"/>
      <c r="I378" s="12"/>
      <c r="J378" s="12"/>
      <c r="K378" s="12"/>
      <c r="L378" s="12"/>
    </row>
    <row r="379" spans="1:12">
      <c r="A379" s="11"/>
      <c r="B379" s="12"/>
      <c r="C379" s="12"/>
      <c r="D379" s="12"/>
      <c r="E379" s="12"/>
      <c r="F379" s="12"/>
      <c r="G379" s="12"/>
      <c r="H379" s="12"/>
      <c r="I379" s="12"/>
      <c r="J379" s="12"/>
      <c r="K379" s="12"/>
      <c r="L379" s="12"/>
    </row>
    <row r="380" spans="1:12">
      <c r="A380" s="11"/>
      <c r="B380" s="12"/>
      <c r="C380" s="12"/>
      <c r="D380" s="12"/>
      <c r="E380" s="12"/>
      <c r="F380" s="12"/>
      <c r="G380" s="12"/>
      <c r="H380" s="12"/>
      <c r="I380" s="12"/>
      <c r="J380" s="12"/>
      <c r="K380" s="12"/>
      <c r="L380" s="12"/>
    </row>
    <row r="381" spans="1:12">
      <c r="A381" s="11"/>
      <c r="B381" s="12"/>
      <c r="C381" s="12"/>
      <c r="D381" s="12"/>
      <c r="E381" s="12"/>
      <c r="F381" s="12"/>
      <c r="G381" s="12"/>
      <c r="H381" s="12"/>
      <c r="I381" s="12"/>
      <c r="J381" s="12"/>
      <c r="K381" s="12"/>
      <c r="L381" s="12"/>
    </row>
    <row r="382" spans="1:12">
      <c r="A382" s="11"/>
      <c r="B382" s="12"/>
      <c r="C382" s="12"/>
      <c r="D382" s="12"/>
      <c r="E382" s="12"/>
      <c r="F382" s="12"/>
      <c r="G382" s="12"/>
      <c r="H382" s="12"/>
      <c r="I382" s="12"/>
      <c r="J382" s="12"/>
      <c r="K382" s="12"/>
      <c r="L382" s="12"/>
    </row>
    <row r="383" spans="1:12">
      <c r="A383" s="11"/>
      <c r="B383" s="12"/>
      <c r="C383" s="12"/>
      <c r="D383" s="12"/>
      <c r="E383" s="12"/>
      <c r="F383" s="12"/>
      <c r="G383" s="12"/>
      <c r="H383" s="12"/>
      <c r="I383" s="12"/>
      <c r="J383" s="12"/>
      <c r="K383" s="12"/>
      <c r="L383" s="12"/>
    </row>
    <row r="384" spans="1:12">
      <c r="A384" s="11"/>
      <c r="B384" s="12"/>
      <c r="C384" s="12"/>
      <c r="D384" s="12"/>
      <c r="E384" s="12"/>
      <c r="F384" s="12"/>
      <c r="G384" s="12"/>
      <c r="H384" s="12"/>
      <c r="I384" s="12"/>
      <c r="J384" s="12"/>
      <c r="K384" s="12"/>
      <c r="L384" s="12"/>
    </row>
    <row r="385" spans="1:12">
      <c r="A385" s="11"/>
      <c r="B385" s="12"/>
      <c r="C385" s="12"/>
      <c r="D385" s="12"/>
      <c r="E385" s="12"/>
      <c r="F385" s="12"/>
      <c r="G385" s="12"/>
      <c r="H385" s="12"/>
      <c r="I385" s="12"/>
      <c r="J385" s="12"/>
      <c r="K385" s="12"/>
      <c r="L385" s="12"/>
    </row>
    <row r="386" spans="1:12">
      <c r="A386" s="11"/>
      <c r="B386" s="12"/>
      <c r="C386" s="12"/>
      <c r="D386" s="12"/>
      <c r="E386" s="12"/>
      <c r="F386" s="12"/>
      <c r="G386" s="12"/>
      <c r="H386" s="12"/>
      <c r="I386" s="12"/>
      <c r="J386" s="12"/>
      <c r="K386" s="12"/>
      <c r="L386" s="12"/>
    </row>
    <row r="387" spans="1:12">
      <c r="A387" s="11"/>
      <c r="B387" s="12"/>
      <c r="C387" s="12"/>
      <c r="D387" s="12"/>
      <c r="E387" s="12"/>
      <c r="F387" s="12"/>
      <c r="G387" s="12"/>
      <c r="H387" s="12"/>
      <c r="I387" s="12"/>
      <c r="J387" s="12"/>
      <c r="K387" s="12"/>
      <c r="L387" s="12"/>
    </row>
    <row r="388" spans="1:12">
      <c r="A388" s="11"/>
      <c r="B388" s="12"/>
      <c r="C388" s="12"/>
      <c r="D388" s="12"/>
      <c r="E388" s="12"/>
      <c r="F388" s="12"/>
      <c r="G388" s="12"/>
      <c r="H388" s="12"/>
      <c r="I388" s="12"/>
      <c r="J388" s="12"/>
      <c r="K388" s="12"/>
      <c r="L388" s="12"/>
    </row>
    <row r="389" spans="1:12">
      <c r="A389" s="11"/>
      <c r="B389" s="12"/>
      <c r="C389" s="12"/>
      <c r="D389" s="12"/>
      <c r="E389" s="12"/>
      <c r="F389" s="12"/>
      <c r="G389" s="12"/>
      <c r="H389" s="12"/>
      <c r="I389" s="12"/>
      <c r="J389" s="12"/>
      <c r="K389" s="12"/>
      <c r="L389" s="12"/>
    </row>
    <row r="390" spans="1:12">
      <c r="A390" s="11"/>
      <c r="B390" s="12"/>
      <c r="C390" s="12"/>
      <c r="D390" s="12"/>
      <c r="E390" s="12"/>
      <c r="F390" s="12"/>
      <c r="G390" s="12"/>
      <c r="H390" s="12"/>
      <c r="I390" s="12"/>
      <c r="J390" s="12"/>
      <c r="K390" s="12"/>
      <c r="L390" s="12"/>
    </row>
    <row r="391" spans="1:12">
      <c r="A391" s="11"/>
      <c r="B391" s="12"/>
      <c r="C391" s="12"/>
      <c r="D391" s="12"/>
      <c r="E391" s="12"/>
      <c r="F391" s="12"/>
      <c r="G391" s="12"/>
      <c r="H391" s="12"/>
      <c r="I391" s="12"/>
      <c r="J391" s="12"/>
      <c r="K391" s="12"/>
      <c r="L391" s="12"/>
    </row>
    <row r="392" spans="1:12">
      <c r="A392" s="11"/>
      <c r="B392" s="12"/>
      <c r="C392" s="12"/>
      <c r="D392" s="12"/>
      <c r="E392" s="12"/>
      <c r="F392" s="12"/>
      <c r="G392" s="12"/>
      <c r="H392" s="12"/>
      <c r="I392" s="12"/>
      <c r="J392" s="12"/>
      <c r="K392" s="12"/>
      <c r="L392" s="12"/>
    </row>
    <row r="393" spans="1:12">
      <c r="A393" s="11"/>
      <c r="B393" s="12"/>
      <c r="C393" s="12"/>
      <c r="D393" s="12"/>
      <c r="E393" s="12"/>
      <c r="F393" s="12"/>
      <c r="G393" s="12"/>
      <c r="H393" s="12"/>
      <c r="I393" s="12"/>
      <c r="J393" s="12"/>
      <c r="K393" s="12"/>
      <c r="L393" s="12"/>
    </row>
    <row r="394" spans="1:12">
      <c r="A394" s="11"/>
      <c r="B394" s="12"/>
      <c r="C394" s="12"/>
      <c r="D394" s="12"/>
      <c r="E394" s="12"/>
      <c r="F394" s="12"/>
      <c r="G394" s="12"/>
      <c r="H394" s="12"/>
      <c r="I394" s="12"/>
      <c r="J394" s="12"/>
      <c r="K394" s="12"/>
      <c r="L394" s="12"/>
    </row>
    <row r="395" spans="1:12">
      <c r="A395" s="11"/>
      <c r="B395" s="12"/>
      <c r="C395" s="12"/>
      <c r="D395" s="12"/>
      <c r="E395" s="12"/>
      <c r="F395" s="12"/>
      <c r="G395" s="12"/>
      <c r="H395" s="12"/>
      <c r="I395" s="12"/>
      <c r="J395" s="12"/>
      <c r="K395" s="12"/>
      <c r="L395" s="12"/>
    </row>
    <row r="396" spans="1:12">
      <c r="A396" s="11"/>
      <c r="B396" s="12"/>
      <c r="C396" s="12"/>
      <c r="D396" s="12"/>
      <c r="E396" s="12"/>
      <c r="F396" s="12"/>
      <c r="G396" s="12"/>
      <c r="H396" s="12"/>
      <c r="I396" s="12"/>
      <c r="J396" s="12"/>
      <c r="K396" s="12"/>
      <c r="L396" s="12"/>
    </row>
    <row r="397" spans="1:12">
      <c r="A397" s="11"/>
      <c r="B397" s="12"/>
      <c r="C397" s="12"/>
      <c r="D397" s="12"/>
      <c r="E397" s="12"/>
      <c r="F397" s="12"/>
      <c r="G397" s="12"/>
      <c r="H397" s="12"/>
      <c r="I397" s="12"/>
      <c r="J397" s="12"/>
      <c r="K397" s="12"/>
      <c r="L397" s="12"/>
    </row>
    <row r="398" spans="1:12">
      <c r="A398" s="11"/>
      <c r="B398" s="12"/>
      <c r="C398" s="12"/>
      <c r="D398" s="12"/>
      <c r="E398" s="12"/>
      <c r="F398" s="12"/>
      <c r="G398" s="12"/>
      <c r="H398" s="12"/>
      <c r="I398" s="12"/>
      <c r="J398" s="12"/>
      <c r="K398" s="12"/>
      <c r="L398" s="12"/>
    </row>
    <row r="399" spans="1:12">
      <c r="A399" s="11"/>
      <c r="B399" s="12"/>
      <c r="C399" s="12"/>
      <c r="D399" s="12"/>
      <c r="E399" s="12"/>
      <c r="F399" s="12"/>
      <c r="G399" s="12"/>
      <c r="H399" s="12"/>
      <c r="I399" s="12"/>
      <c r="J399" s="12"/>
      <c r="K399" s="12"/>
      <c r="L399" s="12"/>
    </row>
    <row r="400" spans="1:12">
      <c r="A400" s="11"/>
      <c r="B400" s="12"/>
      <c r="C400" s="12"/>
      <c r="D400" s="12"/>
      <c r="E400" s="12"/>
      <c r="F400" s="12"/>
      <c r="G400" s="12"/>
      <c r="H400" s="12"/>
      <c r="I400" s="12"/>
      <c r="J400" s="12"/>
      <c r="K400" s="12"/>
      <c r="L400" s="12"/>
    </row>
    <row r="401" spans="1:12">
      <c r="A401" s="11"/>
      <c r="B401" s="12"/>
      <c r="C401" s="12"/>
      <c r="D401" s="12"/>
      <c r="E401" s="12"/>
      <c r="F401" s="12"/>
      <c r="G401" s="12"/>
      <c r="H401" s="12"/>
      <c r="I401" s="12"/>
      <c r="J401" s="12"/>
      <c r="K401" s="12"/>
      <c r="L401" s="12"/>
    </row>
    <row r="402" spans="1:12">
      <c r="A402" s="11"/>
      <c r="B402" s="12"/>
      <c r="C402" s="12"/>
      <c r="D402" s="12"/>
      <c r="E402" s="12"/>
      <c r="F402" s="12"/>
      <c r="G402" s="12"/>
      <c r="H402" s="12"/>
      <c r="I402" s="12"/>
      <c r="J402" s="12"/>
      <c r="K402" s="12"/>
      <c r="L402" s="12"/>
    </row>
    <row r="403" spans="1:12">
      <c r="A403" s="11"/>
      <c r="B403" s="12"/>
      <c r="C403" s="12"/>
      <c r="D403" s="12"/>
      <c r="E403" s="12"/>
      <c r="F403" s="12"/>
      <c r="G403" s="12"/>
      <c r="H403" s="12"/>
      <c r="I403" s="12"/>
      <c r="J403" s="12"/>
      <c r="K403" s="12"/>
      <c r="L403" s="12"/>
    </row>
    <row r="404" spans="1:12">
      <c r="A404" s="11"/>
      <c r="B404" s="12"/>
      <c r="C404" s="12"/>
      <c r="D404" s="12"/>
      <c r="E404" s="12"/>
      <c r="F404" s="12"/>
      <c r="G404" s="12"/>
      <c r="H404" s="12"/>
      <c r="I404" s="12"/>
      <c r="J404" s="12"/>
      <c r="K404" s="12"/>
      <c r="L404" s="12"/>
    </row>
    <row r="405" spans="1:12">
      <c r="A405" s="11"/>
      <c r="B405" s="12"/>
      <c r="C405" s="12"/>
      <c r="D405" s="12"/>
      <c r="E405" s="12"/>
      <c r="F405" s="12"/>
      <c r="G405" s="12"/>
      <c r="H405" s="12"/>
      <c r="I405" s="12"/>
      <c r="J405" s="12"/>
      <c r="K405" s="12"/>
      <c r="L405" s="12"/>
    </row>
    <row r="406" spans="1:12">
      <c r="A406" s="11"/>
      <c r="B406" s="12"/>
      <c r="C406" s="12"/>
      <c r="D406" s="12"/>
      <c r="E406" s="12"/>
      <c r="F406" s="12"/>
      <c r="G406" s="12"/>
      <c r="H406" s="12"/>
      <c r="I406" s="12"/>
      <c r="J406" s="12"/>
      <c r="K406" s="12"/>
      <c r="L406" s="12"/>
    </row>
    <row r="407" spans="1:12">
      <c r="A407" s="11"/>
      <c r="B407" s="12"/>
      <c r="C407" s="12"/>
      <c r="D407" s="12"/>
      <c r="E407" s="12"/>
      <c r="F407" s="12"/>
      <c r="G407" s="12"/>
      <c r="H407" s="12"/>
      <c r="I407" s="12"/>
      <c r="J407" s="12"/>
      <c r="K407" s="12"/>
      <c r="L407" s="12"/>
    </row>
    <row r="408" spans="1:12">
      <c r="A408" s="11"/>
      <c r="B408" s="12"/>
      <c r="C408" s="12"/>
      <c r="D408" s="12"/>
      <c r="E408" s="12"/>
      <c r="F408" s="12"/>
      <c r="G408" s="12"/>
      <c r="H408" s="12"/>
      <c r="I408" s="12"/>
      <c r="J408" s="12"/>
      <c r="K408" s="12"/>
      <c r="L408" s="12"/>
    </row>
    <row r="409" spans="1:12">
      <c r="A409" s="11"/>
      <c r="B409" s="12"/>
      <c r="C409" s="12"/>
      <c r="D409" s="12"/>
      <c r="E409" s="12"/>
      <c r="F409" s="12"/>
      <c r="G409" s="12"/>
      <c r="H409" s="12"/>
      <c r="I409" s="12"/>
      <c r="J409" s="12"/>
      <c r="K409" s="12"/>
      <c r="L409" s="12"/>
    </row>
    <row r="410" spans="1:12">
      <c r="A410" s="11"/>
      <c r="B410" s="12"/>
      <c r="C410" s="12"/>
      <c r="D410" s="12"/>
      <c r="E410" s="12"/>
      <c r="F410" s="12"/>
      <c r="G410" s="12"/>
      <c r="H410" s="12"/>
      <c r="I410" s="12"/>
      <c r="J410" s="12"/>
      <c r="K410" s="12"/>
      <c r="L410" s="12"/>
    </row>
    <row r="411" spans="1:12">
      <c r="A411" s="11"/>
      <c r="B411" s="12"/>
      <c r="C411" s="12"/>
      <c r="D411" s="12"/>
      <c r="E411" s="12"/>
      <c r="F411" s="12"/>
      <c r="G411" s="12"/>
      <c r="H411" s="12"/>
      <c r="I411" s="12"/>
      <c r="J411" s="12"/>
      <c r="K411" s="12"/>
      <c r="L411" s="12"/>
    </row>
    <row r="412" spans="1:12">
      <c r="A412" s="11"/>
      <c r="B412" s="12"/>
      <c r="C412" s="12"/>
      <c r="D412" s="12"/>
      <c r="E412" s="12"/>
      <c r="F412" s="12"/>
      <c r="G412" s="12"/>
      <c r="H412" s="12"/>
      <c r="I412" s="12"/>
      <c r="J412" s="12"/>
      <c r="K412" s="12"/>
      <c r="L412" s="12"/>
    </row>
    <row r="413" spans="1:12">
      <c r="A413" s="11"/>
      <c r="B413" s="12"/>
      <c r="C413" s="12"/>
      <c r="D413" s="12"/>
      <c r="E413" s="12"/>
      <c r="F413" s="12"/>
      <c r="G413" s="12"/>
      <c r="H413" s="12"/>
      <c r="I413" s="12"/>
      <c r="J413" s="12"/>
      <c r="K413" s="12"/>
      <c r="L413" s="12"/>
    </row>
    <row r="414" spans="1:12">
      <c r="A414" s="11"/>
      <c r="B414" s="12"/>
      <c r="C414" s="12"/>
      <c r="D414" s="12"/>
      <c r="E414" s="12"/>
      <c r="F414" s="12"/>
      <c r="G414" s="12"/>
      <c r="H414" s="12"/>
      <c r="I414" s="12"/>
      <c r="J414" s="12"/>
      <c r="K414" s="12"/>
      <c r="L414" s="12"/>
    </row>
    <row r="415" spans="1:12">
      <c r="A415" s="11"/>
      <c r="B415" s="12"/>
      <c r="C415" s="12"/>
      <c r="D415" s="12"/>
      <c r="E415" s="12"/>
      <c r="F415" s="12"/>
      <c r="G415" s="12"/>
      <c r="H415" s="12"/>
      <c r="I415" s="12"/>
      <c r="J415" s="12"/>
      <c r="K415" s="12"/>
      <c r="L415" s="12"/>
    </row>
    <row r="416" spans="1:12">
      <c r="A416" s="11"/>
      <c r="B416" s="12"/>
      <c r="C416" s="12"/>
      <c r="D416" s="12"/>
      <c r="E416" s="12"/>
      <c r="F416" s="12"/>
      <c r="G416" s="12"/>
      <c r="H416" s="12"/>
      <c r="I416" s="12"/>
      <c r="J416" s="12"/>
      <c r="K416" s="12"/>
      <c r="L416" s="12"/>
    </row>
    <row r="417" spans="1:12">
      <c r="A417" s="11"/>
      <c r="B417" s="12"/>
      <c r="C417" s="12"/>
      <c r="D417" s="12"/>
      <c r="E417" s="12"/>
      <c r="F417" s="12"/>
      <c r="G417" s="12"/>
      <c r="H417" s="12"/>
      <c r="I417" s="12"/>
      <c r="J417" s="12"/>
      <c r="K417" s="12"/>
      <c r="L417" s="12"/>
    </row>
    <row r="418" spans="1:12">
      <c r="A418" s="11"/>
      <c r="B418" s="12"/>
      <c r="C418" s="12"/>
      <c r="D418" s="12"/>
      <c r="E418" s="12"/>
      <c r="F418" s="12"/>
      <c r="G418" s="12"/>
      <c r="H418" s="12"/>
      <c r="I418" s="12"/>
      <c r="J418" s="12"/>
      <c r="K418" s="12"/>
      <c r="L418" s="12"/>
    </row>
    <row r="419" spans="1:12">
      <c r="A419" s="11"/>
      <c r="B419" s="12"/>
      <c r="C419" s="12"/>
      <c r="D419" s="12"/>
      <c r="E419" s="12"/>
      <c r="F419" s="12"/>
      <c r="G419" s="12"/>
      <c r="H419" s="12"/>
      <c r="I419" s="12"/>
      <c r="J419" s="12"/>
      <c r="K419" s="12"/>
      <c r="L419" s="12"/>
    </row>
    <row r="420" spans="1:12">
      <c r="A420" s="11"/>
      <c r="B420" s="12"/>
      <c r="C420" s="12"/>
      <c r="D420" s="12"/>
      <c r="E420" s="12"/>
      <c r="F420" s="12"/>
      <c r="G420" s="12"/>
      <c r="H420" s="12"/>
      <c r="I420" s="12"/>
      <c r="J420" s="12"/>
      <c r="K420" s="12"/>
      <c r="L420" s="12"/>
    </row>
    <row r="421" spans="1:12">
      <c r="A421" s="11"/>
      <c r="B421" s="12"/>
      <c r="C421" s="12"/>
      <c r="D421" s="12"/>
      <c r="E421" s="12"/>
      <c r="F421" s="12"/>
      <c r="G421" s="12"/>
      <c r="H421" s="12"/>
      <c r="I421" s="12"/>
      <c r="J421" s="12"/>
      <c r="K421" s="12"/>
      <c r="L421" s="12"/>
    </row>
    <row r="422" spans="1:12">
      <c r="A422" s="11"/>
      <c r="B422" s="12"/>
      <c r="C422" s="12"/>
      <c r="D422" s="12"/>
      <c r="E422" s="12"/>
      <c r="F422" s="12"/>
      <c r="G422" s="12"/>
      <c r="H422" s="12"/>
      <c r="I422" s="12"/>
      <c r="J422" s="12"/>
      <c r="K422" s="12"/>
      <c r="L422" s="12"/>
    </row>
    <row r="423" spans="1:12">
      <c r="A423" s="11"/>
      <c r="B423" s="12"/>
      <c r="C423" s="12"/>
      <c r="D423" s="12"/>
      <c r="E423" s="12"/>
      <c r="F423" s="12"/>
      <c r="G423" s="12"/>
      <c r="H423" s="12"/>
      <c r="I423" s="12"/>
      <c r="J423" s="12"/>
      <c r="K423" s="12"/>
      <c r="L423" s="12"/>
    </row>
    <row r="424" spans="1:12">
      <c r="A424" s="11"/>
      <c r="B424" s="12"/>
      <c r="C424" s="12"/>
      <c r="D424" s="12"/>
      <c r="E424" s="12"/>
      <c r="F424" s="12"/>
      <c r="G424" s="12"/>
      <c r="H424" s="12"/>
      <c r="I424" s="12"/>
      <c r="J424" s="12"/>
      <c r="K424" s="12"/>
      <c r="L424" s="12"/>
    </row>
    <row r="425" spans="1:12">
      <c r="A425" s="11"/>
      <c r="B425" s="12"/>
      <c r="C425" s="12"/>
      <c r="D425" s="12"/>
      <c r="E425" s="12"/>
      <c r="F425" s="12"/>
      <c r="G425" s="12"/>
      <c r="H425" s="12"/>
      <c r="I425" s="12"/>
      <c r="J425" s="12"/>
      <c r="K425" s="12"/>
      <c r="L425" s="12"/>
    </row>
    <row r="426" spans="1:12">
      <c r="A426" s="11"/>
      <c r="B426" s="12"/>
      <c r="C426" s="12"/>
      <c r="D426" s="12"/>
      <c r="E426" s="12"/>
      <c r="F426" s="12"/>
      <c r="G426" s="12"/>
      <c r="H426" s="12"/>
      <c r="I426" s="12"/>
      <c r="J426" s="12"/>
      <c r="K426" s="12"/>
      <c r="L426" s="12"/>
    </row>
    <row r="427" spans="1:12">
      <c r="A427" s="11"/>
      <c r="B427" s="12"/>
      <c r="C427" s="12"/>
      <c r="D427" s="12"/>
      <c r="E427" s="12"/>
      <c r="F427" s="12"/>
      <c r="G427" s="12"/>
      <c r="H427" s="12"/>
      <c r="I427" s="12"/>
      <c r="J427" s="12"/>
      <c r="K427" s="12"/>
      <c r="L427" s="12"/>
    </row>
    <row r="428" spans="1:12">
      <c r="A428" s="11"/>
      <c r="B428" s="12"/>
      <c r="C428" s="12"/>
      <c r="D428" s="12"/>
      <c r="E428" s="12"/>
      <c r="F428" s="12"/>
      <c r="G428" s="12"/>
      <c r="H428" s="12"/>
      <c r="I428" s="12"/>
      <c r="J428" s="12"/>
      <c r="K428" s="12"/>
      <c r="L428" s="12"/>
    </row>
    <row r="429" spans="1:12">
      <c r="A429" s="11"/>
      <c r="B429" s="12"/>
      <c r="C429" s="12"/>
      <c r="D429" s="12"/>
      <c r="E429" s="12"/>
      <c r="F429" s="12"/>
      <c r="G429" s="12"/>
      <c r="H429" s="12"/>
      <c r="I429" s="12"/>
      <c r="J429" s="12"/>
      <c r="K429" s="12"/>
      <c r="L429" s="12"/>
    </row>
    <row r="430" spans="1:12">
      <c r="A430" s="11"/>
      <c r="B430" s="12"/>
      <c r="C430" s="12"/>
      <c r="D430" s="12"/>
      <c r="E430" s="12"/>
      <c r="F430" s="12"/>
      <c r="G430" s="12"/>
      <c r="H430" s="12"/>
      <c r="I430" s="12"/>
      <c r="J430" s="12"/>
      <c r="K430" s="12"/>
      <c r="L430" s="12"/>
    </row>
    <row r="431" spans="1:12">
      <c r="A431" s="11"/>
      <c r="B431" s="12"/>
      <c r="C431" s="12"/>
      <c r="D431" s="12"/>
      <c r="E431" s="12"/>
      <c r="F431" s="12"/>
      <c r="G431" s="12"/>
      <c r="H431" s="12"/>
      <c r="I431" s="12"/>
      <c r="J431" s="12"/>
      <c r="K431" s="12"/>
      <c r="L431" s="12"/>
    </row>
    <row r="432" spans="1:12">
      <c r="A432" s="11"/>
      <c r="B432" s="12"/>
      <c r="C432" s="12"/>
      <c r="D432" s="12"/>
      <c r="E432" s="12"/>
      <c r="F432" s="12"/>
      <c r="G432" s="12"/>
      <c r="H432" s="12"/>
      <c r="I432" s="12"/>
      <c r="J432" s="12"/>
      <c r="K432" s="12"/>
      <c r="L432" s="12"/>
    </row>
    <row r="433" spans="1:12">
      <c r="A433" s="11"/>
      <c r="B433" s="12"/>
      <c r="C433" s="12"/>
      <c r="D433" s="12"/>
      <c r="E433" s="12"/>
      <c r="F433" s="12"/>
      <c r="G433" s="12"/>
      <c r="H433" s="12"/>
      <c r="I433" s="12"/>
      <c r="J433" s="12"/>
      <c r="K433" s="12"/>
      <c r="L433" s="12"/>
    </row>
    <row r="434" spans="1:12">
      <c r="A434" s="11"/>
      <c r="B434" s="12"/>
      <c r="C434" s="12"/>
      <c r="D434" s="12"/>
      <c r="E434" s="12"/>
      <c r="F434" s="12"/>
      <c r="G434" s="12"/>
      <c r="H434" s="12"/>
      <c r="I434" s="12"/>
      <c r="J434" s="12"/>
      <c r="K434" s="12"/>
      <c r="L434" s="12"/>
    </row>
    <row r="435" spans="1:12">
      <c r="A435" s="11"/>
      <c r="B435" s="12"/>
      <c r="C435" s="12"/>
      <c r="D435" s="12"/>
      <c r="E435" s="12"/>
      <c r="F435" s="12"/>
      <c r="G435" s="12"/>
      <c r="H435" s="12"/>
      <c r="I435" s="12"/>
      <c r="J435" s="12"/>
      <c r="K435" s="12"/>
      <c r="L435" s="12"/>
    </row>
    <row r="436" spans="1:12">
      <c r="A436" s="11"/>
      <c r="B436" s="12"/>
      <c r="C436" s="12"/>
      <c r="D436" s="12"/>
      <c r="E436" s="12"/>
      <c r="F436" s="12"/>
      <c r="G436" s="12"/>
      <c r="H436" s="12"/>
      <c r="I436" s="12"/>
      <c r="J436" s="12"/>
      <c r="K436" s="12"/>
      <c r="L436" s="12"/>
    </row>
    <row r="437" spans="1:12">
      <c r="A437" s="11"/>
      <c r="B437" s="12"/>
      <c r="C437" s="12"/>
      <c r="D437" s="12"/>
      <c r="E437" s="12"/>
      <c r="F437" s="12"/>
      <c r="G437" s="12"/>
      <c r="H437" s="12"/>
      <c r="I437" s="12"/>
      <c r="J437" s="12"/>
      <c r="K437" s="12"/>
      <c r="L437" s="12"/>
    </row>
    <row r="438" spans="1:12">
      <c r="A438" s="11"/>
      <c r="B438" s="12"/>
      <c r="C438" s="12"/>
      <c r="D438" s="12"/>
      <c r="E438" s="12"/>
      <c r="F438" s="12"/>
      <c r="G438" s="12"/>
      <c r="H438" s="12"/>
      <c r="I438" s="12"/>
      <c r="J438" s="12"/>
      <c r="K438" s="12"/>
      <c r="L438" s="12"/>
    </row>
    <row r="439" spans="1:12">
      <c r="A439" s="11"/>
      <c r="B439" s="12"/>
      <c r="C439" s="12"/>
      <c r="D439" s="12"/>
      <c r="E439" s="12"/>
      <c r="F439" s="12"/>
      <c r="G439" s="12"/>
      <c r="H439" s="12"/>
      <c r="I439" s="12"/>
      <c r="J439" s="12"/>
      <c r="K439" s="12"/>
      <c r="L439" s="12"/>
    </row>
    <row r="440" spans="1:12">
      <c r="A440" s="11"/>
      <c r="B440" s="12"/>
      <c r="C440" s="12"/>
      <c r="D440" s="12"/>
      <c r="E440" s="12"/>
      <c r="F440" s="12"/>
      <c r="G440" s="12"/>
      <c r="H440" s="12"/>
      <c r="I440" s="12"/>
      <c r="J440" s="12"/>
      <c r="K440" s="12"/>
      <c r="L440" s="12"/>
    </row>
    <row r="441" spans="1:12">
      <c r="A441" s="11"/>
      <c r="B441" s="12"/>
      <c r="C441" s="12"/>
      <c r="D441" s="12"/>
      <c r="E441" s="12"/>
      <c r="F441" s="12"/>
      <c r="G441" s="12"/>
      <c r="H441" s="12"/>
      <c r="I441" s="12"/>
      <c r="J441" s="12"/>
      <c r="K441" s="12"/>
      <c r="L441" s="12"/>
    </row>
    <row r="442" spans="1:12">
      <c r="A442" s="11"/>
      <c r="B442" s="12"/>
      <c r="C442" s="12"/>
      <c r="D442" s="12"/>
      <c r="E442" s="12"/>
      <c r="F442" s="12"/>
      <c r="G442" s="12"/>
      <c r="H442" s="12"/>
      <c r="I442" s="12"/>
      <c r="J442" s="12"/>
      <c r="K442" s="12"/>
      <c r="L442" s="12"/>
    </row>
    <row r="443" spans="1:12">
      <c r="A443" s="11"/>
      <c r="B443" s="12"/>
      <c r="C443" s="12"/>
      <c r="D443" s="12"/>
      <c r="E443" s="12"/>
      <c r="F443" s="12"/>
      <c r="G443" s="12"/>
      <c r="H443" s="12"/>
      <c r="I443" s="12"/>
      <c r="J443" s="12"/>
      <c r="K443" s="12"/>
      <c r="L443" s="12"/>
    </row>
    <row r="444" spans="1:12">
      <c r="A444" s="11"/>
      <c r="B444" s="12"/>
      <c r="C444" s="12"/>
      <c r="D444" s="12"/>
      <c r="E444" s="12"/>
      <c r="F444" s="12"/>
      <c r="G444" s="12"/>
      <c r="H444" s="12"/>
      <c r="I444" s="12"/>
      <c r="J444" s="12"/>
      <c r="K444" s="12"/>
      <c r="L444" s="12"/>
    </row>
    <row r="445" spans="1:12">
      <c r="A445" s="11"/>
      <c r="B445" s="12"/>
      <c r="C445" s="12"/>
      <c r="D445" s="12"/>
      <c r="E445" s="12"/>
      <c r="F445" s="12"/>
      <c r="G445" s="12"/>
      <c r="H445" s="12"/>
      <c r="I445" s="12"/>
      <c r="J445" s="12"/>
      <c r="K445" s="12"/>
      <c r="L445" s="12"/>
    </row>
    <row r="446" spans="1:12">
      <c r="A446" s="11"/>
      <c r="B446" s="12"/>
      <c r="C446" s="12"/>
      <c r="D446" s="12"/>
      <c r="E446" s="12"/>
      <c r="F446" s="12"/>
      <c r="G446" s="12"/>
      <c r="H446" s="12"/>
      <c r="I446" s="12"/>
      <c r="J446" s="12"/>
      <c r="K446" s="12"/>
      <c r="L446" s="12"/>
    </row>
    <row r="447" spans="1:12">
      <c r="A447" s="11"/>
      <c r="B447" s="12"/>
      <c r="C447" s="12"/>
      <c r="D447" s="12"/>
      <c r="E447" s="12"/>
      <c r="F447" s="12"/>
      <c r="G447" s="12"/>
      <c r="H447" s="12"/>
      <c r="I447" s="12"/>
      <c r="J447" s="12"/>
      <c r="K447" s="12"/>
      <c r="L447" s="12"/>
    </row>
    <row r="448" spans="1:12">
      <c r="A448" s="11"/>
      <c r="B448" s="12"/>
      <c r="C448" s="12"/>
      <c r="D448" s="12"/>
      <c r="E448" s="12"/>
      <c r="F448" s="12"/>
      <c r="G448" s="12"/>
      <c r="H448" s="12"/>
      <c r="I448" s="12"/>
      <c r="J448" s="12"/>
      <c r="K448" s="12"/>
      <c r="L448" s="12"/>
    </row>
    <row r="449" spans="1:12">
      <c r="A449" s="11"/>
      <c r="B449" s="12"/>
      <c r="C449" s="12"/>
      <c r="D449" s="12"/>
      <c r="E449" s="12"/>
      <c r="F449" s="12"/>
      <c r="G449" s="12"/>
      <c r="H449" s="12"/>
      <c r="I449" s="12"/>
      <c r="J449" s="12"/>
      <c r="K449" s="12"/>
      <c r="L449" s="12"/>
    </row>
    <row r="450" spans="1:12">
      <c r="A450" s="11"/>
      <c r="B450" s="12"/>
      <c r="C450" s="12"/>
      <c r="D450" s="12"/>
      <c r="E450" s="12"/>
      <c r="F450" s="12"/>
      <c r="G450" s="12"/>
      <c r="H450" s="12"/>
      <c r="I450" s="12"/>
      <c r="J450" s="12"/>
      <c r="K450" s="12"/>
      <c r="L450" s="12"/>
    </row>
    <row r="451" spans="1:12">
      <c r="A451" s="11"/>
      <c r="B451" s="12"/>
      <c r="C451" s="12"/>
      <c r="D451" s="12"/>
      <c r="E451" s="12"/>
      <c r="F451" s="12"/>
      <c r="G451" s="12"/>
      <c r="H451" s="12"/>
      <c r="I451" s="12"/>
      <c r="J451" s="12"/>
      <c r="K451" s="12"/>
      <c r="L451" s="12"/>
    </row>
    <row r="452" spans="1:12">
      <c r="A452" s="11"/>
      <c r="B452" s="12"/>
      <c r="C452" s="12"/>
      <c r="D452" s="12"/>
      <c r="E452" s="12"/>
      <c r="F452" s="12"/>
      <c r="G452" s="12"/>
      <c r="H452" s="12"/>
      <c r="I452" s="12"/>
      <c r="J452" s="12"/>
      <c r="K452" s="12"/>
      <c r="L452" s="12"/>
    </row>
    <row r="453" spans="1:12">
      <c r="A453" s="11"/>
      <c r="B453" s="12"/>
      <c r="C453" s="12"/>
      <c r="D453" s="12"/>
      <c r="E453" s="12"/>
      <c r="F453" s="12"/>
      <c r="G453" s="12"/>
      <c r="H453" s="12"/>
      <c r="I453" s="12"/>
      <c r="J453" s="12"/>
      <c r="K453" s="12"/>
      <c r="L453" s="12"/>
    </row>
    <row r="454" spans="1:12">
      <c r="A454" s="11"/>
      <c r="B454" s="12"/>
      <c r="C454" s="12"/>
      <c r="D454" s="12"/>
      <c r="E454" s="12"/>
      <c r="F454" s="12"/>
      <c r="G454" s="12"/>
      <c r="H454" s="12"/>
      <c r="I454" s="12"/>
      <c r="J454" s="12"/>
      <c r="K454" s="12"/>
      <c r="L454" s="12"/>
    </row>
    <row r="455" spans="1:12">
      <c r="A455" s="11"/>
      <c r="B455" s="12"/>
      <c r="C455" s="12"/>
      <c r="D455" s="12"/>
      <c r="E455" s="12"/>
      <c r="F455" s="12"/>
      <c r="G455" s="12"/>
      <c r="H455" s="12"/>
      <c r="I455" s="12"/>
      <c r="J455" s="12"/>
      <c r="K455" s="12"/>
      <c r="L455" s="12"/>
    </row>
    <row r="456" spans="1:12">
      <c r="A456" s="11"/>
      <c r="B456" s="12"/>
      <c r="C456" s="12"/>
      <c r="D456" s="12"/>
      <c r="E456" s="12"/>
      <c r="F456" s="12"/>
      <c r="G456" s="12"/>
      <c r="H456" s="12"/>
      <c r="I456" s="12"/>
      <c r="J456" s="12"/>
      <c r="K456" s="12"/>
      <c r="L456" s="12"/>
    </row>
    <row r="457" spans="1:12">
      <c r="A457" s="11"/>
      <c r="B457" s="12"/>
      <c r="C457" s="12"/>
      <c r="D457" s="12"/>
      <c r="E457" s="12"/>
      <c r="F457" s="12"/>
      <c r="G457" s="12"/>
      <c r="H457" s="12"/>
      <c r="I457" s="12"/>
      <c r="J457" s="12"/>
      <c r="K457" s="12"/>
      <c r="L457" s="12"/>
    </row>
    <row r="458" spans="1:12">
      <c r="A458" s="11"/>
      <c r="B458" s="12"/>
      <c r="C458" s="12"/>
      <c r="D458" s="12"/>
      <c r="E458" s="12"/>
      <c r="F458" s="12"/>
      <c r="G458" s="12"/>
      <c r="H458" s="12"/>
      <c r="I458" s="12"/>
      <c r="J458" s="12"/>
      <c r="K458" s="12"/>
      <c r="L458" s="12"/>
    </row>
    <row r="459" spans="1:12">
      <c r="A459" s="11"/>
      <c r="B459" s="12"/>
      <c r="C459" s="12"/>
      <c r="D459" s="12"/>
      <c r="E459" s="12"/>
      <c r="F459" s="12"/>
      <c r="G459" s="12"/>
      <c r="H459" s="12"/>
      <c r="I459" s="12"/>
      <c r="J459" s="12"/>
      <c r="K459" s="12"/>
      <c r="L459" s="12"/>
    </row>
    <row r="460" spans="1:12">
      <c r="A460" s="11"/>
      <c r="B460" s="12"/>
      <c r="C460" s="12"/>
      <c r="D460" s="12"/>
      <c r="E460" s="12"/>
      <c r="F460" s="12"/>
      <c r="G460" s="12"/>
      <c r="H460" s="12"/>
      <c r="I460" s="12"/>
      <c r="J460" s="12"/>
      <c r="K460" s="12"/>
      <c r="L460" s="12"/>
    </row>
    <row r="461" spans="1:12">
      <c r="A461" s="11"/>
      <c r="B461" s="12"/>
      <c r="C461" s="12"/>
      <c r="D461" s="12"/>
      <c r="E461" s="12"/>
      <c r="F461" s="12"/>
      <c r="G461" s="12"/>
      <c r="H461" s="12"/>
      <c r="I461" s="12"/>
      <c r="J461" s="12"/>
      <c r="K461" s="12"/>
      <c r="L461" s="12"/>
    </row>
    <row r="462" spans="1:12">
      <c r="A462" s="11"/>
      <c r="B462" s="12"/>
      <c r="C462" s="12"/>
      <c r="D462" s="12"/>
      <c r="E462" s="12"/>
      <c r="F462" s="12"/>
      <c r="G462" s="12"/>
      <c r="H462" s="12"/>
      <c r="I462" s="12"/>
      <c r="J462" s="12"/>
      <c r="K462" s="12"/>
      <c r="L462" s="12"/>
    </row>
    <row r="463" spans="1:12">
      <c r="A463" s="11"/>
      <c r="B463" s="12"/>
      <c r="C463" s="12"/>
      <c r="D463" s="12"/>
      <c r="E463" s="12"/>
      <c r="F463" s="12"/>
      <c r="G463" s="12"/>
      <c r="H463" s="12"/>
      <c r="I463" s="12"/>
      <c r="J463" s="12"/>
      <c r="K463" s="12"/>
      <c r="L463" s="12"/>
    </row>
    <row r="464" spans="1:12">
      <c r="A464" s="11"/>
      <c r="B464" s="12"/>
      <c r="C464" s="12"/>
      <c r="D464" s="12"/>
      <c r="E464" s="12"/>
      <c r="F464" s="12"/>
      <c r="G464" s="12"/>
      <c r="H464" s="12"/>
      <c r="I464" s="12"/>
      <c r="J464" s="12"/>
      <c r="K464" s="12"/>
      <c r="L464" s="12"/>
    </row>
    <row r="465" spans="1:12">
      <c r="A465" s="11"/>
      <c r="B465" s="12"/>
      <c r="C465" s="12"/>
      <c r="D465" s="12"/>
      <c r="E465" s="12"/>
      <c r="F465" s="12"/>
      <c r="G465" s="12"/>
      <c r="H465" s="12"/>
      <c r="I465" s="12"/>
      <c r="J465" s="12"/>
      <c r="K465" s="12"/>
      <c r="L465" s="12"/>
    </row>
    <row r="466" spans="1:12">
      <c r="A466" s="11"/>
      <c r="B466" s="12"/>
      <c r="C466" s="12"/>
      <c r="D466" s="12"/>
      <c r="E466" s="12"/>
      <c r="F466" s="12"/>
      <c r="G466" s="12"/>
      <c r="H466" s="12"/>
      <c r="I466" s="12"/>
      <c r="J466" s="12"/>
      <c r="K466" s="12"/>
      <c r="L466" s="12"/>
    </row>
    <row r="467" spans="1:12">
      <c r="A467" s="11"/>
      <c r="B467" s="12"/>
      <c r="C467" s="12"/>
      <c r="D467" s="12"/>
      <c r="E467" s="12"/>
      <c r="F467" s="12"/>
      <c r="G467" s="12"/>
      <c r="H467" s="12"/>
      <c r="I467" s="12"/>
      <c r="J467" s="12"/>
      <c r="K467" s="12"/>
      <c r="L467" s="12"/>
    </row>
    <row r="468" spans="1:12">
      <c r="A468" s="11"/>
      <c r="B468" s="12"/>
      <c r="C468" s="12"/>
      <c r="D468" s="12"/>
      <c r="E468" s="12"/>
      <c r="F468" s="12"/>
      <c r="G468" s="12"/>
      <c r="H468" s="12"/>
      <c r="I468" s="12"/>
      <c r="J468" s="12"/>
      <c r="K468" s="12"/>
      <c r="L468" s="12"/>
    </row>
    <row r="469" spans="1:12">
      <c r="A469" s="11"/>
      <c r="B469" s="12"/>
      <c r="C469" s="12"/>
      <c r="D469" s="12"/>
      <c r="E469" s="12"/>
      <c r="F469" s="12"/>
      <c r="G469" s="12"/>
      <c r="H469" s="12"/>
      <c r="I469" s="12"/>
      <c r="J469" s="12"/>
      <c r="K469" s="12"/>
      <c r="L469" s="12"/>
    </row>
    <row r="470" spans="1:12">
      <c r="A470" s="11"/>
      <c r="B470" s="12"/>
      <c r="C470" s="12"/>
      <c r="D470" s="12"/>
      <c r="E470" s="12"/>
      <c r="F470" s="12"/>
      <c r="G470" s="12"/>
      <c r="H470" s="12"/>
      <c r="I470" s="12"/>
      <c r="J470" s="12"/>
      <c r="K470" s="12"/>
      <c r="L470" s="12"/>
    </row>
    <row r="471" spans="1:12">
      <c r="A471" s="11"/>
      <c r="B471" s="12"/>
      <c r="C471" s="12"/>
      <c r="D471" s="12"/>
      <c r="E471" s="12"/>
      <c r="F471" s="12"/>
      <c r="G471" s="12"/>
      <c r="H471" s="12"/>
      <c r="I471" s="12"/>
      <c r="J471" s="12"/>
      <c r="K471" s="12"/>
      <c r="L471" s="12"/>
    </row>
    <row r="472" spans="1:12">
      <c r="A472" s="11"/>
      <c r="B472" s="12"/>
      <c r="C472" s="12"/>
      <c r="D472" s="12"/>
      <c r="E472" s="12"/>
      <c r="F472" s="12"/>
      <c r="G472" s="12"/>
      <c r="H472" s="12"/>
      <c r="I472" s="12"/>
      <c r="J472" s="12"/>
      <c r="K472" s="12"/>
      <c r="L472" s="12"/>
    </row>
    <row r="473" spans="1:12">
      <c r="A473" s="11"/>
      <c r="B473" s="12"/>
      <c r="C473" s="12"/>
      <c r="D473" s="12"/>
      <c r="E473" s="12"/>
      <c r="F473" s="12"/>
      <c r="G473" s="12"/>
      <c r="H473" s="12"/>
      <c r="I473" s="12"/>
      <c r="J473" s="12"/>
      <c r="K473" s="12"/>
      <c r="L473" s="12"/>
    </row>
    <row r="474" spans="1:12">
      <c r="A474" s="11"/>
      <c r="B474" s="12"/>
      <c r="C474" s="12"/>
      <c r="D474" s="12"/>
      <c r="E474" s="12"/>
      <c r="F474" s="12"/>
      <c r="G474" s="12"/>
      <c r="H474" s="12"/>
      <c r="I474" s="12"/>
      <c r="J474" s="12"/>
      <c r="K474" s="12"/>
      <c r="L474" s="12"/>
    </row>
    <row r="475" spans="1:12">
      <c r="A475" s="11"/>
      <c r="B475" s="12"/>
      <c r="C475" s="12"/>
      <c r="D475" s="12"/>
      <c r="E475" s="12"/>
      <c r="F475" s="12"/>
      <c r="G475" s="12"/>
      <c r="H475" s="12"/>
      <c r="I475" s="12"/>
      <c r="J475" s="12"/>
      <c r="K475" s="12"/>
      <c r="L475" s="12"/>
    </row>
    <row r="476" spans="1:12">
      <c r="A476" s="11"/>
      <c r="B476" s="12"/>
      <c r="C476" s="12"/>
      <c r="D476" s="12"/>
      <c r="E476" s="12"/>
      <c r="F476" s="12"/>
      <c r="G476" s="12"/>
      <c r="H476" s="12"/>
      <c r="I476" s="12"/>
      <c r="J476" s="12"/>
      <c r="K476" s="12"/>
      <c r="L476" s="12"/>
    </row>
    <row r="477" spans="1:12">
      <c r="A477" s="11"/>
      <c r="B477" s="12"/>
      <c r="C477" s="12"/>
      <c r="D477" s="12"/>
      <c r="E477" s="12"/>
      <c r="F477" s="12"/>
      <c r="G477" s="12"/>
      <c r="H477" s="12"/>
      <c r="I477" s="12"/>
      <c r="J477" s="12"/>
      <c r="K477" s="12"/>
      <c r="L477" s="12"/>
    </row>
    <row r="478" spans="1:12">
      <c r="A478" s="11"/>
      <c r="B478" s="12"/>
      <c r="C478" s="12"/>
      <c r="D478" s="12"/>
      <c r="E478" s="12"/>
      <c r="F478" s="12"/>
      <c r="G478" s="12"/>
      <c r="H478" s="12"/>
      <c r="I478" s="12"/>
      <c r="J478" s="12"/>
      <c r="K478" s="12"/>
      <c r="L478" s="12"/>
    </row>
    <row r="479" spans="1:12">
      <c r="A479" s="11"/>
      <c r="B479" s="12"/>
      <c r="C479" s="12"/>
      <c r="D479" s="12"/>
      <c r="E479" s="12"/>
      <c r="F479" s="12"/>
      <c r="G479" s="12"/>
      <c r="H479" s="12"/>
      <c r="I479" s="12"/>
      <c r="J479" s="12"/>
      <c r="K479" s="12"/>
      <c r="L479" s="12"/>
    </row>
    <row r="480" spans="1:12">
      <c r="A480" s="11"/>
      <c r="B480" s="12"/>
      <c r="C480" s="12"/>
      <c r="D480" s="12"/>
      <c r="E480" s="12"/>
      <c r="F480" s="12"/>
      <c r="G480" s="12"/>
      <c r="H480" s="12"/>
      <c r="I480" s="12"/>
      <c r="J480" s="12"/>
      <c r="K480" s="12"/>
      <c r="L480" s="12"/>
    </row>
    <row r="481" spans="1:12">
      <c r="A481" s="11"/>
      <c r="B481" s="12"/>
      <c r="C481" s="12"/>
      <c r="D481" s="12"/>
      <c r="E481" s="12"/>
      <c r="F481" s="12"/>
      <c r="G481" s="12"/>
      <c r="H481" s="12"/>
      <c r="I481" s="12"/>
      <c r="J481" s="12"/>
      <c r="K481" s="12"/>
      <c r="L481" s="12"/>
    </row>
    <row r="482" spans="1:12">
      <c r="A482" s="11"/>
      <c r="B482" s="12"/>
      <c r="C482" s="12"/>
      <c r="D482" s="12"/>
      <c r="E482" s="12"/>
      <c r="F482" s="12"/>
      <c r="G482" s="12"/>
      <c r="H482" s="12"/>
      <c r="I482" s="12"/>
      <c r="J482" s="12"/>
      <c r="K482" s="12"/>
      <c r="L482" s="12"/>
    </row>
    <row r="483" spans="1:12">
      <c r="A483" s="11"/>
      <c r="B483" s="12"/>
      <c r="C483" s="12"/>
      <c r="D483" s="12"/>
      <c r="E483" s="12"/>
      <c r="F483" s="12"/>
      <c r="G483" s="12"/>
      <c r="H483" s="12"/>
      <c r="I483" s="12"/>
      <c r="J483" s="12"/>
      <c r="K483" s="12"/>
      <c r="L483" s="12"/>
    </row>
    <row r="484" spans="1:12">
      <c r="A484" s="11"/>
      <c r="B484" s="12"/>
      <c r="C484" s="12"/>
      <c r="D484" s="12"/>
      <c r="E484" s="12"/>
      <c r="F484" s="12"/>
      <c r="G484" s="12"/>
      <c r="H484" s="12"/>
      <c r="I484" s="12"/>
      <c r="J484" s="12"/>
      <c r="K484" s="12"/>
      <c r="L484" s="12"/>
    </row>
    <row r="485" spans="1:12">
      <c r="A485" s="11"/>
      <c r="B485" s="12"/>
      <c r="C485" s="12"/>
      <c r="D485" s="12"/>
      <c r="E485" s="12"/>
      <c r="F485" s="12"/>
      <c r="G485" s="12"/>
      <c r="H485" s="12"/>
      <c r="I485" s="12"/>
      <c r="J485" s="12"/>
      <c r="K485" s="12"/>
      <c r="L485" s="12"/>
    </row>
    <row r="486" spans="1:12">
      <c r="A486" s="11"/>
      <c r="B486" s="12"/>
      <c r="C486" s="12"/>
      <c r="D486" s="12"/>
      <c r="E486" s="12"/>
      <c r="F486" s="12"/>
      <c r="G486" s="12"/>
      <c r="H486" s="12"/>
      <c r="I486" s="12"/>
      <c r="J486" s="12"/>
      <c r="K486" s="12"/>
      <c r="L486" s="12"/>
    </row>
    <row r="487" spans="1:12">
      <c r="A487" s="11"/>
      <c r="B487" s="12"/>
      <c r="C487" s="12"/>
      <c r="D487" s="12"/>
      <c r="E487" s="12"/>
      <c r="F487" s="12"/>
      <c r="G487" s="12"/>
      <c r="H487" s="12"/>
      <c r="I487" s="12"/>
      <c r="J487" s="12"/>
      <c r="K487" s="12"/>
      <c r="L487" s="12"/>
    </row>
    <row r="488" spans="1:12">
      <c r="A488" s="11"/>
      <c r="B488" s="12"/>
      <c r="C488" s="12"/>
      <c r="D488" s="12"/>
      <c r="E488" s="12"/>
      <c r="F488" s="12"/>
      <c r="G488" s="12"/>
      <c r="H488" s="12"/>
      <c r="I488" s="12"/>
      <c r="J488" s="12"/>
      <c r="K488" s="12"/>
      <c r="L488" s="12"/>
    </row>
    <row r="489" spans="1:12">
      <c r="A489" s="11"/>
      <c r="B489" s="12"/>
      <c r="C489" s="12"/>
      <c r="D489" s="12"/>
      <c r="E489" s="12"/>
      <c r="F489" s="12"/>
      <c r="G489" s="12"/>
      <c r="H489" s="12"/>
      <c r="I489" s="12"/>
      <c r="J489" s="12"/>
      <c r="K489" s="12"/>
      <c r="L489" s="12"/>
    </row>
    <row r="490" spans="1:12">
      <c r="A490" s="11"/>
      <c r="B490" s="12"/>
      <c r="C490" s="12"/>
      <c r="D490" s="12"/>
      <c r="E490" s="12"/>
      <c r="F490" s="12"/>
      <c r="G490" s="12"/>
      <c r="H490" s="12"/>
      <c r="I490" s="12"/>
      <c r="J490" s="12"/>
      <c r="K490" s="12"/>
      <c r="L490" s="12"/>
    </row>
    <row r="491" spans="1:12">
      <c r="A491" s="11"/>
      <c r="B491" s="12"/>
      <c r="C491" s="12"/>
      <c r="D491" s="12"/>
      <c r="E491" s="12"/>
      <c r="F491" s="12"/>
      <c r="G491" s="12"/>
      <c r="H491" s="12"/>
      <c r="I491" s="12"/>
      <c r="J491" s="12"/>
      <c r="K491" s="12"/>
      <c r="L491" s="12"/>
    </row>
    <row r="492" spans="1:12">
      <c r="A492" s="11"/>
      <c r="B492" s="12"/>
      <c r="C492" s="12"/>
      <c r="D492" s="12"/>
      <c r="E492" s="12"/>
      <c r="F492" s="12"/>
      <c r="G492" s="12"/>
      <c r="H492" s="12"/>
      <c r="I492" s="12"/>
      <c r="J492" s="12"/>
      <c r="K492" s="12"/>
      <c r="L492" s="12"/>
    </row>
    <row r="493" spans="1:12">
      <c r="A493" s="11"/>
      <c r="B493" s="12"/>
      <c r="C493" s="12"/>
      <c r="D493" s="12"/>
      <c r="E493" s="12"/>
      <c r="F493" s="12"/>
      <c r="G493" s="12"/>
      <c r="H493" s="12"/>
      <c r="I493" s="12"/>
      <c r="J493" s="12"/>
      <c r="K493" s="12"/>
      <c r="L493" s="12"/>
    </row>
    <row r="494" spans="1:12">
      <c r="A494" s="11"/>
      <c r="B494" s="12"/>
      <c r="C494" s="12"/>
      <c r="D494" s="12"/>
      <c r="E494" s="12"/>
      <c r="F494" s="12"/>
      <c r="G494" s="12"/>
      <c r="H494" s="12"/>
      <c r="I494" s="12"/>
      <c r="J494" s="12"/>
      <c r="K494" s="12"/>
      <c r="L494" s="12"/>
    </row>
    <row r="495" spans="1:12">
      <c r="A495" s="11"/>
      <c r="B495" s="12"/>
      <c r="C495" s="12"/>
      <c r="D495" s="12"/>
      <c r="E495" s="12"/>
      <c r="F495" s="12"/>
      <c r="G495" s="12"/>
      <c r="H495" s="12"/>
      <c r="I495" s="12"/>
      <c r="J495" s="12"/>
      <c r="K495" s="12"/>
      <c r="L495" s="12"/>
    </row>
    <row r="496" spans="1:12">
      <c r="A496" s="11"/>
      <c r="B496" s="12"/>
      <c r="C496" s="12"/>
      <c r="D496" s="12"/>
      <c r="E496" s="12"/>
      <c r="F496" s="12"/>
      <c r="G496" s="12"/>
      <c r="H496" s="12"/>
      <c r="I496" s="12"/>
      <c r="J496" s="12"/>
      <c r="K496" s="12"/>
      <c r="L496" s="12"/>
    </row>
    <row r="497" spans="1:12">
      <c r="A497" s="11"/>
      <c r="B497" s="12"/>
      <c r="C497" s="12"/>
      <c r="D497" s="12"/>
      <c r="E497" s="12"/>
      <c r="F497" s="12"/>
      <c r="G497" s="12"/>
      <c r="H497" s="12"/>
      <c r="I497" s="12"/>
      <c r="J497" s="12"/>
      <c r="K497" s="12"/>
      <c r="L497" s="12"/>
    </row>
    <row r="498" spans="1:12">
      <c r="A498" s="11"/>
      <c r="B498" s="12"/>
      <c r="C498" s="12"/>
      <c r="D498" s="12"/>
      <c r="E498" s="12"/>
      <c r="F498" s="12"/>
      <c r="G498" s="12"/>
      <c r="H498" s="12"/>
      <c r="I498" s="12"/>
      <c r="J498" s="12"/>
      <c r="K498" s="12"/>
      <c r="L498" s="12"/>
    </row>
    <row r="499" spans="1:12">
      <c r="A499" s="11"/>
      <c r="B499" s="12"/>
      <c r="C499" s="12"/>
      <c r="D499" s="12"/>
      <c r="E499" s="12"/>
      <c r="F499" s="12"/>
      <c r="G499" s="12"/>
      <c r="H499" s="12"/>
      <c r="I499" s="12"/>
      <c r="J499" s="12"/>
      <c r="K499" s="12"/>
      <c r="L499" s="12"/>
    </row>
    <row r="500" spans="1:12">
      <c r="A500" s="11"/>
      <c r="B500" s="12"/>
      <c r="C500" s="12"/>
      <c r="D500" s="12"/>
      <c r="E500" s="12"/>
      <c r="F500" s="12"/>
      <c r="G500" s="12"/>
      <c r="H500" s="12"/>
      <c r="I500" s="12"/>
      <c r="J500" s="12"/>
      <c r="K500" s="12"/>
      <c r="L500" s="12"/>
    </row>
    <row r="501" spans="1:12">
      <c r="A501" s="11"/>
      <c r="B501" s="12"/>
      <c r="C501" s="12"/>
      <c r="D501" s="12"/>
      <c r="E501" s="12"/>
      <c r="F501" s="12"/>
      <c r="G501" s="12"/>
      <c r="H501" s="12"/>
      <c r="I501" s="12"/>
      <c r="J501" s="12"/>
      <c r="K501" s="12"/>
      <c r="L501" s="12"/>
    </row>
    <row r="502" spans="1:12">
      <c r="A502" s="11"/>
      <c r="B502" s="12"/>
      <c r="C502" s="12"/>
      <c r="D502" s="12"/>
      <c r="E502" s="12"/>
      <c r="F502" s="12"/>
      <c r="G502" s="12"/>
      <c r="H502" s="12"/>
      <c r="I502" s="12"/>
      <c r="J502" s="12"/>
      <c r="K502" s="12"/>
      <c r="L502" s="12"/>
    </row>
    <row r="503" spans="1:12">
      <c r="A503" s="11"/>
      <c r="B503" s="12"/>
      <c r="C503" s="12"/>
      <c r="D503" s="12"/>
      <c r="E503" s="12"/>
      <c r="F503" s="12"/>
      <c r="G503" s="12"/>
      <c r="H503" s="12"/>
      <c r="I503" s="12"/>
      <c r="J503" s="12"/>
      <c r="K503" s="12"/>
      <c r="L503" s="12"/>
    </row>
    <row r="504" spans="1:12">
      <c r="A504" s="11"/>
      <c r="B504" s="12"/>
      <c r="C504" s="12"/>
      <c r="D504" s="12"/>
      <c r="E504" s="12"/>
      <c r="F504" s="12"/>
      <c r="G504" s="12"/>
      <c r="H504" s="12"/>
      <c r="I504" s="12"/>
      <c r="J504" s="12"/>
      <c r="K504" s="12"/>
      <c r="L504" s="12"/>
    </row>
    <row r="505" spans="1:12">
      <c r="A505" s="11"/>
      <c r="B505" s="12"/>
      <c r="C505" s="12"/>
      <c r="D505" s="12"/>
      <c r="E505" s="12"/>
      <c r="F505" s="12"/>
      <c r="G505" s="12"/>
      <c r="H505" s="12"/>
      <c r="I505" s="12"/>
      <c r="J505" s="12"/>
      <c r="K505" s="12"/>
      <c r="L505" s="12"/>
    </row>
    <row r="506" spans="1:12">
      <c r="A506" s="11"/>
      <c r="B506" s="12"/>
      <c r="C506" s="12"/>
      <c r="D506" s="12"/>
      <c r="E506" s="12"/>
      <c r="F506" s="12"/>
      <c r="G506" s="12"/>
      <c r="H506" s="12"/>
      <c r="I506" s="12"/>
      <c r="J506" s="12"/>
      <c r="K506" s="12"/>
      <c r="L506" s="12"/>
    </row>
    <row r="507" spans="1:12">
      <c r="A507" s="11"/>
      <c r="B507" s="12"/>
      <c r="C507" s="12"/>
      <c r="D507" s="12"/>
      <c r="E507" s="12"/>
      <c r="F507" s="12"/>
      <c r="G507" s="12"/>
      <c r="H507" s="12"/>
      <c r="I507" s="12"/>
      <c r="J507" s="12"/>
      <c r="K507" s="12"/>
      <c r="L507" s="12"/>
    </row>
    <row r="508" spans="1:12">
      <c r="A508" s="11"/>
      <c r="B508" s="12"/>
      <c r="C508" s="12"/>
      <c r="D508" s="12"/>
      <c r="E508" s="12"/>
      <c r="F508" s="12"/>
      <c r="G508" s="12"/>
      <c r="H508" s="12"/>
      <c r="I508" s="12"/>
      <c r="J508" s="12"/>
      <c r="K508" s="12"/>
      <c r="L508" s="12"/>
    </row>
    <row r="509" spans="1:12">
      <c r="A509" s="11"/>
      <c r="B509" s="12"/>
      <c r="C509" s="12"/>
      <c r="D509" s="12"/>
      <c r="E509" s="12"/>
      <c r="F509" s="12"/>
      <c r="G509" s="12"/>
      <c r="H509" s="12"/>
      <c r="I509" s="12"/>
      <c r="J509" s="12"/>
      <c r="K509" s="12"/>
      <c r="L509" s="12"/>
    </row>
    <row r="510" spans="1:12">
      <c r="A510" s="11"/>
      <c r="B510" s="12"/>
      <c r="C510" s="12"/>
      <c r="D510" s="12"/>
      <c r="E510" s="12"/>
      <c r="F510" s="12"/>
      <c r="G510" s="12"/>
      <c r="H510" s="12"/>
      <c r="I510" s="12"/>
      <c r="J510" s="12"/>
      <c r="K510" s="12"/>
      <c r="L510" s="12"/>
    </row>
    <row r="511" spans="1:12">
      <c r="A511" s="11"/>
      <c r="B511" s="12"/>
      <c r="C511" s="12"/>
      <c r="D511" s="12"/>
      <c r="E511" s="12"/>
      <c r="F511" s="12"/>
      <c r="G511" s="12"/>
      <c r="H511" s="12"/>
      <c r="I511" s="12"/>
      <c r="J511" s="12"/>
      <c r="K511" s="12"/>
      <c r="L511" s="12"/>
    </row>
    <row r="512" spans="1:12">
      <c r="A512" s="11"/>
      <c r="B512" s="12"/>
      <c r="C512" s="12"/>
      <c r="D512" s="12"/>
      <c r="E512" s="12"/>
      <c r="F512" s="12"/>
      <c r="G512" s="12"/>
      <c r="H512" s="12"/>
      <c r="I512" s="12"/>
      <c r="J512" s="12"/>
      <c r="K512" s="12"/>
      <c r="L512" s="12"/>
    </row>
    <row r="513" spans="1:12">
      <c r="A513" s="11"/>
      <c r="B513" s="12"/>
      <c r="C513" s="12"/>
      <c r="D513" s="12"/>
      <c r="E513" s="12"/>
      <c r="F513" s="12"/>
      <c r="G513" s="12"/>
      <c r="H513" s="12"/>
      <c r="I513" s="12"/>
      <c r="J513" s="12"/>
      <c r="K513" s="12"/>
      <c r="L513" s="12"/>
    </row>
    <row r="514" spans="1:12">
      <c r="A514" s="11"/>
      <c r="B514" s="12"/>
      <c r="C514" s="12"/>
      <c r="D514" s="12"/>
      <c r="E514" s="12"/>
      <c r="F514" s="12"/>
      <c r="G514" s="12"/>
      <c r="H514" s="12"/>
      <c r="I514" s="12"/>
      <c r="J514" s="12"/>
      <c r="K514" s="12"/>
      <c r="L514" s="12"/>
    </row>
    <row r="515" spans="1:12">
      <c r="A515" s="11"/>
      <c r="B515" s="12"/>
      <c r="C515" s="12"/>
      <c r="D515" s="12"/>
      <c r="E515" s="12"/>
      <c r="F515" s="12"/>
      <c r="G515" s="12"/>
      <c r="H515" s="12"/>
      <c r="I515" s="12"/>
      <c r="J515" s="12"/>
      <c r="K515" s="12"/>
      <c r="L515" s="12"/>
    </row>
    <row r="516" spans="1:12">
      <c r="A516" s="11"/>
      <c r="B516" s="12"/>
      <c r="C516" s="12"/>
      <c r="D516" s="12"/>
      <c r="E516" s="12"/>
      <c r="F516" s="12"/>
      <c r="G516" s="12"/>
      <c r="H516" s="12"/>
      <c r="I516" s="12"/>
      <c r="J516" s="12"/>
      <c r="K516" s="12"/>
      <c r="L516" s="12"/>
    </row>
    <row r="517" spans="1:12">
      <c r="A517" s="11"/>
      <c r="B517" s="12"/>
      <c r="C517" s="12"/>
      <c r="D517" s="12"/>
      <c r="E517" s="12"/>
      <c r="F517" s="12"/>
      <c r="G517" s="12"/>
      <c r="H517" s="12"/>
      <c r="I517" s="12"/>
      <c r="J517" s="12"/>
      <c r="K517" s="12"/>
      <c r="L517" s="12"/>
    </row>
    <row r="518" spans="1:12">
      <c r="A518" s="11"/>
      <c r="B518" s="12"/>
      <c r="C518" s="12"/>
      <c r="D518" s="12"/>
      <c r="E518" s="12"/>
      <c r="F518" s="12"/>
      <c r="G518" s="12"/>
      <c r="H518" s="12"/>
      <c r="I518" s="12"/>
      <c r="J518" s="12"/>
      <c r="K518" s="12"/>
      <c r="L518" s="12"/>
    </row>
    <row r="519" spans="1:12">
      <c r="A519" s="11"/>
      <c r="B519" s="12"/>
      <c r="C519" s="12"/>
      <c r="D519" s="12"/>
      <c r="E519" s="12"/>
      <c r="F519" s="12"/>
      <c r="G519" s="12"/>
      <c r="H519" s="12"/>
      <c r="I519" s="12"/>
      <c r="J519" s="12"/>
      <c r="K519" s="12"/>
      <c r="L519" s="12"/>
    </row>
    <row r="520" spans="1:12">
      <c r="A520" s="11"/>
      <c r="B520" s="12"/>
      <c r="C520" s="12"/>
      <c r="D520" s="12"/>
      <c r="E520" s="12"/>
      <c r="F520" s="12"/>
      <c r="G520" s="12"/>
      <c r="H520" s="12"/>
      <c r="I520" s="12"/>
      <c r="J520" s="12"/>
      <c r="K520" s="12"/>
      <c r="L520" s="12"/>
    </row>
    <row r="521" spans="1:12">
      <c r="A521" s="11"/>
      <c r="B521" s="12"/>
      <c r="C521" s="12"/>
      <c r="D521" s="12"/>
      <c r="E521" s="12"/>
      <c r="F521" s="12"/>
      <c r="G521" s="12"/>
      <c r="H521" s="12"/>
      <c r="I521" s="12"/>
      <c r="J521" s="12"/>
      <c r="K521" s="12"/>
      <c r="L521" s="12"/>
    </row>
    <row r="522" spans="1:12">
      <c r="A522" s="11"/>
      <c r="B522" s="12"/>
      <c r="C522" s="12"/>
      <c r="D522" s="12"/>
      <c r="E522" s="12"/>
      <c r="F522" s="12"/>
      <c r="G522" s="12"/>
      <c r="H522" s="12"/>
      <c r="I522" s="12"/>
      <c r="J522" s="12"/>
      <c r="K522" s="12"/>
      <c r="L522" s="12"/>
    </row>
    <row r="523" spans="1:12">
      <c r="A523" s="11"/>
      <c r="B523" s="12"/>
      <c r="C523" s="12"/>
      <c r="D523" s="12"/>
      <c r="E523" s="12"/>
      <c r="F523" s="12"/>
      <c r="G523" s="12"/>
      <c r="H523" s="12"/>
      <c r="I523" s="12"/>
      <c r="J523" s="12"/>
      <c r="K523" s="12"/>
      <c r="L523" s="12"/>
    </row>
    <row r="524" spans="1:12">
      <c r="A524" s="11"/>
      <c r="B524" s="12"/>
      <c r="C524" s="12"/>
      <c r="D524" s="12"/>
      <c r="E524" s="12"/>
      <c r="F524" s="12"/>
      <c r="G524" s="12"/>
      <c r="H524" s="12"/>
      <c r="I524" s="12"/>
      <c r="J524" s="12"/>
      <c r="K524" s="12"/>
      <c r="L524" s="12"/>
    </row>
    <row r="525" spans="1:12">
      <c r="A525" s="11"/>
      <c r="B525" s="12"/>
      <c r="C525" s="12"/>
      <c r="D525" s="12"/>
      <c r="E525" s="12"/>
      <c r="F525" s="12"/>
      <c r="G525" s="12"/>
      <c r="H525" s="12"/>
      <c r="I525" s="12"/>
      <c r="J525" s="12"/>
      <c r="K525" s="12"/>
      <c r="L525" s="12"/>
    </row>
    <row r="526" spans="1:12">
      <c r="A526" s="11"/>
      <c r="B526" s="12"/>
      <c r="C526" s="12"/>
      <c r="D526" s="12"/>
      <c r="E526" s="12"/>
      <c r="F526" s="12"/>
      <c r="G526" s="12"/>
      <c r="H526" s="12"/>
      <c r="I526" s="12"/>
      <c r="J526" s="12"/>
      <c r="K526" s="12"/>
      <c r="L526" s="12"/>
    </row>
    <row r="527" spans="1:12">
      <c r="A527" s="11"/>
      <c r="B527" s="12"/>
      <c r="C527" s="12"/>
      <c r="D527" s="12"/>
      <c r="E527" s="12"/>
      <c r="F527" s="12"/>
      <c r="G527" s="12"/>
      <c r="H527" s="12"/>
      <c r="I527" s="12"/>
      <c r="J527" s="12"/>
      <c r="K527" s="12"/>
      <c r="L527" s="12"/>
    </row>
    <row r="528" spans="1:12">
      <c r="A528" s="11"/>
      <c r="B528" s="12"/>
      <c r="C528" s="12"/>
      <c r="D528" s="12"/>
      <c r="E528" s="12"/>
      <c r="F528" s="12"/>
      <c r="G528" s="12"/>
      <c r="H528" s="12"/>
      <c r="I528" s="12"/>
      <c r="J528" s="12"/>
      <c r="K528" s="12"/>
      <c r="L528" s="12"/>
    </row>
    <row r="529" spans="1:12">
      <c r="A529" s="11"/>
      <c r="B529" s="12"/>
      <c r="C529" s="12"/>
      <c r="D529" s="12"/>
      <c r="E529" s="12"/>
      <c r="F529" s="12"/>
      <c r="G529" s="12"/>
      <c r="H529" s="12"/>
      <c r="I529" s="12"/>
      <c r="J529" s="12"/>
      <c r="K529" s="12"/>
      <c r="L529" s="12"/>
    </row>
    <row r="530" spans="1:12">
      <c r="A530" s="11"/>
      <c r="B530" s="12"/>
      <c r="C530" s="12"/>
      <c r="D530" s="12"/>
      <c r="E530" s="12"/>
      <c r="F530" s="12"/>
      <c r="G530" s="12"/>
      <c r="H530" s="12"/>
      <c r="I530" s="12"/>
      <c r="J530" s="12"/>
      <c r="K530" s="12"/>
      <c r="L530" s="12"/>
    </row>
    <row r="531" spans="1:12">
      <c r="A531" s="11"/>
      <c r="B531" s="12"/>
      <c r="C531" s="12"/>
      <c r="D531" s="12"/>
      <c r="E531" s="12"/>
      <c r="F531" s="12"/>
      <c r="G531" s="12"/>
      <c r="H531" s="12"/>
      <c r="I531" s="12"/>
      <c r="J531" s="12"/>
      <c r="K531" s="12"/>
      <c r="L531" s="12"/>
    </row>
  </sheetData>
  <sortState columnSort="1" ref="B1:L534">
    <sortCondition ref="B48:L48"/>
  </sortState>
  <phoneticPr fontId="0" type="noConversion"/>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66" customWidth="1"/>
    <col min="4" max="5" width="5.28515625" style="2" customWidth="1"/>
    <col min="6" max="6" width="5.42578125" style="5" customWidth="1"/>
    <col min="7" max="14" width="5.42578125" style="3" customWidth="1"/>
    <col min="15" max="15" width="5.42578125" style="4" customWidth="1"/>
    <col min="16" max="24" width="5.42578125" customWidth="1"/>
    <col min="25" max="25" width="6.5703125" customWidth="1"/>
    <col min="26" max="26" width="6.28515625" style="1" customWidth="1"/>
    <col min="27" max="27" width="15" customWidth="1"/>
  </cols>
  <sheetData>
    <row r="1" spans="3:27">
      <c r="C1" s="1" t="s">
        <v>66</v>
      </c>
    </row>
    <row r="2" spans="3:27">
      <c r="F2" s="3"/>
    </row>
    <row r="3" spans="3:27" s="4" customFormat="1" ht="13.5" thickBot="1">
      <c r="C3" s="42"/>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c r="C4" s="99"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19" si="0">SUM(D4:Y4)</f>
        <v>#N/A</v>
      </c>
      <c r="AA4" t="str">
        <f>C4</f>
        <v>Test</v>
      </c>
    </row>
    <row r="5" spans="3:27">
      <c r="C5"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ref="AA5:AA20" si="1">C5</f>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SUM(D20:Y20)</f>
        <v>#N/A</v>
      </c>
      <c r="AA20" t="str">
        <f t="shared" si="1"/>
        <v>test17</v>
      </c>
    </row>
    <row r="21" spans="3:27" s="96" customFormat="1">
      <c r="C21" s="96" t="s">
        <v>21</v>
      </c>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Z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 t="shared" si="2"/>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s="81"/>
      <c r="D24" s="82" t="e">
        <f>VLOOKUP($C24,Score!$B$2:$X$71,2,0)</f>
        <v>#N/A</v>
      </c>
      <c r="E24" s="82" t="e">
        <f>VLOOKUP($C24,Score!$B$2:$X$71,2,0)</f>
        <v>#N/A</v>
      </c>
      <c r="F24" s="82" t="e">
        <f>VLOOKUP($C24,Score!$B$2:$X$71,2,0)</f>
        <v>#N/A</v>
      </c>
      <c r="G24" s="82" t="e">
        <f>VLOOKUP($C24,Score!$B$2:$X$71,2,0)</f>
        <v>#N/A</v>
      </c>
      <c r="H24" s="82" t="e">
        <f>VLOOKUP($C24,Score!$B$2:$X$71,2,0)</f>
        <v>#N/A</v>
      </c>
      <c r="I24" s="82" t="e">
        <f>VLOOKUP($C24,Score!$B$2:$X$71,2,0)</f>
        <v>#N/A</v>
      </c>
      <c r="J24" s="82" t="e">
        <f>VLOOKUP($C24,Score!$B$2:$X$71,2,0)</f>
        <v>#N/A</v>
      </c>
      <c r="K24" s="82" t="e">
        <f>VLOOKUP($C24,Score!$B$2:$X$71,2,0)</f>
        <v>#N/A</v>
      </c>
      <c r="L24" s="82" t="e">
        <f>VLOOKUP($C24,Score!$B$2:$X$71,2,0)</f>
        <v>#N/A</v>
      </c>
      <c r="M24" s="82" t="e">
        <f>VLOOKUP($C24,Score!$B$2:$X$71,2,0)</f>
        <v>#N/A</v>
      </c>
      <c r="N24" s="82" t="e">
        <f>VLOOKUP($C24,Score!$B$2:$X$71,2,0)</f>
        <v>#N/A</v>
      </c>
      <c r="O24" s="82" t="e">
        <f>VLOOKUP($C24,Score!$B$2:$X$71,2,0)</f>
        <v>#N/A</v>
      </c>
      <c r="P24" s="82" t="e">
        <f>VLOOKUP($C24,Score!$B$2:$X$71,2,0)</f>
        <v>#N/A</v>
      </c>
      <c r="Q24" s="82" t="e">
        <f>VLOOKUP($C24,Score!$B$2:$X$71,2,0)</f>
        <v>#N/A</v>
      </c>
      <c r="R24" s="82" t="e">
        <f>VLOOKUP($C24,Score!$B$2:$X$71,2,0)</f>
        <v>#N/A</v>
      </c>
      <c r="S24" s="82" t="e">
        <f>VLOOKUP($C24,Score!$B$2:$X$71,2,0)</f>
        <v>#N/A</v>
      </c>
      <c r="T24" s="82" t="e">
        <f>VLOOKUP($C24,Score!$B$2:$X$71,2,0)</f>
        <v>#N/A</v>
      </c>
      <c r="U24" s="82" t="e">
        <f>VLOOKUP($C24,Score!$B$2:$X$71,2,0)</f>
        <v>#N/A</v>
      </c>
      <c r="V24" s="82" t="e">
        <f>VLOOKUP($C24,Score!$B$2:$X$71,2,0)</f>
        <v>#N/A</v>
      </c>
      <c r="W24" s="82" t="e">
        <f>VLOOKUP($C24,Score!$B$2:$X$71,2,0)</f>
        <v>#N/A</v>
      </c>
      <c r="X24" s="82" t="e">
        <f>VLOOKUP($C24,Score!$B$2:$X$71,2,0)</f>
        <v>#N/A</v>
      </c>
      <c r="Y24" s="82" t="e">
        <f>VLOOKUP($C24,Score!$B$2:$X$71,2,0)</f>
        <v>#N/A</v>
      </c>
      <c r="Z24" s="82" t="e">
        <f>VLOOKUP($C24,Score!$B$2:$X$71,2,0)</f>
        <v>#N/A</v>
      </c>
    </row>
    <row r="25" spans="3:27" s="83" customFormat="1">
      <c r="C25" s="81"/>
      <c r="D25" s="82" t="e">
        <f>VLOOKUP($C25,Score!$B$2:$X$71,2,0)</f>
        <v>#N/A</v>
      </c>
      <c r="E25" s="82" t="e">
        <f>VLOOKUP($C25,Score!$B$2:$X$71,2,0)</f>
        <v>#N/A</v>
      </c>
      <c r="F25" s="82" t="e">
        <f>VLOOKUP($C25,Score!$B$2:$X$71,2,0)</f>
        <v>#N/A</v>
      </c>
      <c r="G25" s="82" t="e">
        <f>VLOOKUP($C25,Score!$B$2:$X$71,2,0)</f>
        <v>#N/A</v>
      </c>
      <c r="H25" s="82" t="e">
        <f>VLOOKUP($C25,Score!$B$2:$X$71,2,0)</f>
        <v>#N/A</v>
      </c>
      <c r="I25" s="82" t="e">
        <f>VLOOKUP($C25,Score!$B$2:$X$71,2,0)</f>
        <v>#N/A</v>
      </c>
      <c r="J25" s="82" t="e">
        <f>VLOOKUP($C25,Score!$B$2:$X$71,2,0)</f>
        <v>#N/A</v>
      </c>
      <c r="K25" s="82" t="e">
        <f>VLOOKUP($C25,Score!$B$2:$X$71,2,0)</f>
        <v>#N/A</v>
      </c>
      <c r="L25" s="82" t="e">
        <f>VLOOKUP($C25,Score!$B$2:$X$71,2,0)</f>
        <v>#N/A</v>
      </c>
      <c r="M25" s="82" t="e">
        <f>VLOOKUP($C25,Score!$B$2:$X$71,2,0)</f>
        <v>#N/A</v>
      </c>
      <c r="N25" s="82" t="e">
        <f>VLOOKUP($C25,Score!$B$2:$X$71,2,0)</f>
        <v>#N/A</v>
      </c>
      <c r="O25" s="82" t="e">
        <f>VLOOKUP($C25,Score!$B$2:$X$71,2,0)</f>
        <v>#N/A</v>
      </c>
      <c r="P25" s="82" t="e">
        <f>VLOOKUP($C25,Score!$B$2:$X$71,2,0)</f>
        <v>#N/A</v>
      </c>
      <c r="Q25" s="82" t="e">
        <f>VLOOKUP($C25,Score!$B$2:$X$71,2,0)</f>
        <v>#N/A</v>
      </c>
      <c r="R25" s="82" t="e">
        <f>VLOOKUP($C25,Score!$B$2:$X$71,2,0)</f>
        <v>#N/A</v>
      </c>
      <c r="S25" s="82" t="e">
        <f>VLOOKUP($C25,Score!$B$2:$X$71,2,0)</f>
        <v>#N/A</v>
      </c>
      <c r="T25" s="82" t="e">
        <f>VLOOKUP($C25,Score!$B$2:$X$71,2,0)</f>
        <v>#N/A</v>
      </c>
      <c r="U25" s="82" t="e">
        <f>VLOOKUP($C25,Score!$B$2:$X$71,2,0)</f>
        <v>#N/A</v>
      </c>
      <c r="V25" s="82" t="e">
        <f>VLOOKUP($C25,Score!$B$2:$X$71,2,0)</f>
        <v>#N/A</v>
      </c>
      <c r="W25" s="82" t="e">
        <f>VLOOKUP($C25,Score!$B$2:$X$71,2,0)</f>
        <v>#N/A</v>
      </c>
      <c r="X25" s="82" t="e">
        <f>VLOOKUP($C25,Score!$B$2:$X$71,2,0)</f>
        <v>#N/A</v>
      </c>
      <c r="Y25" s="82" t="e">
        <f>VLOOKUP($C25,Score!$B$2:$X$71,2,0)</f>
        <v>#N/A</v>
      </c>
      <c r="Z25" s="82" t="e">
        <f>VLOOKUP($C25,Score!$B$2:$X$71,2,0)</f>
        <v>#N/A</v>
      </c>
    </row>
    <row r="26" spans="3:27" s="83" customFormat="1">
      <c r="C26" s="81"/>
      <c r="D26" s="82" t="e">
        <f>VLOOKUP($C26,Score!$B$2:$X$71,2,0)</f>
        <v>#N/A</v>
      </c>
      <c r="E26" s="82" t="e">
        <f>VLOOKUP($C26,Score!$B$2:$X$71,2,0)</f>
        <v>#N/A</v>
      </c>
      <c r="F26" s="82" t="e">
        <f>VLOOKUP($C26,Score!$B$2:$X$71,2,0)</f>
        <v>#N/A</v>
      </c>
      <c r="G26" s="82" t="e">
        <f>VLOOKUP($C26,Score!$B$2:$X$71,2,0)</f>
        <v>#N/A</v>
      </c>
      <c r="H26" s="82" t="e">
        <f>VLOOKUP($C26,Score!$B$2:$X$71,2,0)</f>
        <v>#N/A</v>
      </c>
      <c r="I26" s="82" t="e">
        <f>VLOOKUP($C26,Score!$B$2:$X$71,2,0)</f>
        <v>#N/A</v>
      </c>
      <c r="J26" s="82" t="e">
        <f>VLOOKUP($C26,Score!$B$2:$X$71,2,0)</f>
        <v>#N/A</v>
      </c>
      <c r="K26" s="82" t="e">
        <f>VLOOKUP($C26,Score!$B$2:$X$71,2,0)</f>
        <v>#N/A</v>
      </c>
      <c r="L26" s="82" t="e">
        <f>VLOOKUP($C26,Score!$B$2:$X$71,2,0)</f>
        <v>#N/A</v>
      </c>
      <c r="M26" s="82" t="e">
        <f>VLOOKUP($C26,Score!$B$2:$X$71,2,0)</f>
        <v>#N/A</v>
      </c>
      <c r="N26" s="82" t="e">
        <f>VLOOKUP($C26,Score!$B$2:$X$71,2,0)</f>
        <v>#N/A</v>
      </c>
      <c r="O26" s="82" t="e">
        <f>VLOOKUP($C26,Score!$B$2:$X$71,2,0)</f>
        <v>#N/A</v>
      </c>
      <c r="P26" s="82" t="e">
        <f>VLOOKUP($C26,Score!$B$2:$X$71,2,0)</f>
        <v>#N/A</v>
      </c>
      <c r="Q26" s="82" t="e">
        <f>VLOOKUP($C26,Score!$B$2:$X$71,2,0)</f>
        <v>#N/A</v>
      </c>
      <c r="R26" s="82" t="e">
        <f>VLOOKUP($C26,Score!$B$2:$X$71,2,0)</f>
        <v>#N/A</v>
      </c>
      <c r="S26" s="82" t="e">
        <f>VLOOKUP($C26,Score!$B$2:$X$71,2,0)</f>
        <v>#N/A</v>
      </c>
      <c r="T26" s="82" t="e">
        <f>VLOOKUP($C26,Score!$B$2:$X$71,2,0)</f>
        <v>#N/A</v>
      </c>
      <c r="U26" s="82" t="e">
        <f>VLOOKUP($C26,Score!$B$2:$X$71,2,0)</f>
        <v>#N/A</v>
      </c>
      <c r="V26" s="82" t="e">
        <f>VLOOKUP($C26,Score!$B$2:$X$71,2,0)</f>
        <v>#N/A</v>
      </c>
      <c r="W26" s="82" t="e">
        <f>VLOOKUP($C26,Score!$B$2:$X$71,2,0)</f>
        <v>#N/A</v>
      </c>
      <c r="X26" s="82" t="e">
        <f>VLOOKUP($C26,Score!$B$2:$X$71,2,0)</f>
        <v>#N/A</v>
      </c>
      <c r="Y26" s="82" t="e">
        <f>VLOOKUP($C26,Score!$B$2:$X$71,2,0)</f>
        <v>#N/A</v>
      </c>
      <c r="Z26" s="82" t="e">
        <f>VLOOKUP($C26,Score!$B$2:$X$71,2,0)</f>
        <v>#N/A</v>
      </c>
    </row>
    <row r="27" spans="3:27" s="67" customFormat="1">
      <c r="C27" s="73"/>
      <c r="D27" s="56"/>
      <c r="E27" s="56"/>
      <c r="F27" s="57"/>
      <c r="G27" s="56"/>
      <c r="H27" s="56"/>
      <c r="I27" s="56"/>
      <c r="J27" s="56"/>
      <c r="K27" s="56"/>
      <c r="L27" s="56"/>
      <c r="M27" s="56"/>
      <c r="N27" s="56"/>
      <c r="Z27" s="60"/>
    </row>
    <row r="28" spans="3:27" s="67" customFormat="1">
      <c r="C28" s="37"/>
      <c r="D28" s="56"/>
      <c r="E28" s="56"/>
      <c r="F28" s="57"/>
      <c r="G28" s="56"/>
      <c r="H28" s="56"/>
      <c r="I28" s="56"/>
      <c r="J28" s="56"/>
      <c r="K28" s="56"/>
      <c r="L28" s="56"/>
      <c r="M28" s="56"/>
      <c r="N28" s="56"/>
      <c r="Z28" s="60"/>
    </row>
    <row r="29" spans="3:27" s="67" customFormat="1">
      <c r="C29" s="41"/>
      <c r="D29" s="56"/>
      <c r="E29" s="56"/>
      <c r="F29" s="57"/>
      <c r="G29" s="56"/>
      <c r="H29" s="56"/>
      <c r="I29" s="56"/>
      <c r="J29" s="56"/>
      <c r="K29" s="56"/>
      <c r="L29" s="56"/>
      <c r="M29" s="56"/>
      <c r="N29" s="56"/>
      <c r="Z29" s="60"/>
    </row>
    <row r="30" spans="3:27" s="67" customFormat="1">
      <c r="C30" s="41"/>
      <c r="D30" s="56"/>
      <c r="E30" s="56"/>
      <c r="F30" s="57"/>
      <c r="G30" s="56"/>
      <c r="H30" s="56"/>
      <c r="I30" s="56"/>
      <c r="J30" s="56"/>
      <c r="K30" s="56"/>
      <c r="L30" s="56"/>
      <c r="M30" s="56"/>
      <c r="N30" s="56"/>
      <c r="Z30" s="60"/>
    </row>
    <row r="31" spans="3:27" s="67" customFormat="1">
      <c r="C31" s="41"/>
      <c r="D31" s="56"/>
      <c r="E31" s="56"/>
      <c r="F31" s="57"/>
      <c r="G31" s="56"/>
      <c r="H31" s="56"/>
      <c r="I31" s="56"/>
      <c r="J31" s="56"/>
      <c r="K31" s="56"/>
      <c r="L31" s="56"/>
      <c r="M31" s="56"/>
      <c r="N31" s="56"/>
      <c r="Z31" s="60"/>
    </row>
    <row r="32" spans="3:27" s="18" customFormat="1">
      <c r="C32" s="23"/>
      <c r="D32" s="14"/>
      <c r="E32" s="14"/>
      <c r="F32" s="15"/>
      <c r="G32" s="16"/>
      <c r="H32" s="16"/>
      <c r="I32" s="16"/>
      <c r="J32" s="16"/>
      <c r="K32" s="16"/>
      <c r="L32" s="16"/>
      <c r="M32" s="16"/>
      <c r="N32" s="16"/>
      <c r="O32" s="17"/>
      <c r="Z32" s="19"/>
    </row>
    <row r="33" spans="3:26" s="18" customFormat="1">
      <c r="C33" s="23"/>
      <c r="D33" s="14"/>
      <c r="E33" s="14"/>
      <c r="F33" s="15"/>
      <c r="G33" s="16"/>
      <c r="H33" s="16"/>
      <c r="I33" s="16"/>
      <c r="J33" s="16"/>
      <c r="K33" s="16"/>
      <c r="L33" s="16"/>
      <c r="M33" s="16"/>
      <c r="N33" s="16"/>
      <c r="O33" s="17"/>
      <c r="Z33" s="19"/>
    </row>
    <row r="34" spans="3:26" s="18" customFormat="1">
      <c r="C34" s="23"/>
      <c r="D34" s="14"/>
      <c r="E34" s="14"/>
      <c r="F34" s="15"/>
      <c r="G34" s="16"/>
      <c r="H34" s="16"/>
      <c r="I34" s="16"/>
      <c r="J34" s="16"/>
      <c r="K34" s="16"/>
      <c r="L34" s="16"/>
      <c r="M34" s="16"/>
      <c r="N34" s="16"/>
      <c r="O34" s="17"/>
      <c r="Z34" s="19"/>
    </row>
    <row r="35" spans="3:26" s="18" customFormat="1">
      <c r="C35" s="23"/>
      <c r="D35" s="14"/>
      <c r="E35" s="14"/>
      <c r="F35" s="15"/>
      <c r="G35" s="16"/>
      <c r="H35" s="16"/>
      <c r="I35" s="16"/>
      <c r="J35" s="16"/>
      <c r="K35" s="16"/>
      <c r="L35" s="16"/>
      <c r="M35" s="16"/>
      <c r="N35" s="16"/>
      <c r="O35" s="17"/>
      <c r="Z35" s="19"/>
    </row>
    <row r="36" spans="3:26" s="18" customFormat="1">
      <c r="C36" s="23"/>
      <c r="D36" s="14"/>
      <c r="E36" s="14"/>
      <c r="F36" s="15"/>
      <c r="G36" s="16"/>
      <c r="H36" s="16"/>
      <c r="I36" s="16"/>
      <c r="J36" s="16"/>
      <c r="K36" s="16"/>
      <c r="L36" s="16"/>
      <c r="M36" s="16"/>
      <c r="N36" s="16"/>
      <c r="O36" s="17"/>
      <c r="Z36" s="19"/>
    </row>
    <row r="37" spans="3:26" s="18" customFormat="1">
      <c r="C37" s="23"/>
      <c r="D37" s="14"/>
      <c r="E37" s="14"/>
      <c r="F37" s="15"/>
      <c r="G37" s="16"/>
      <c r="H37" s="16"/>
      <c r="I37" s="16"/>
      <c r="J37" s="16"/>
      <c r="K37" s="16"/>
      <c r="L37" s="16"/>
      <c r="M37" s="16"/>
      <c r="N37" s="16"/>
      <c r="O37" s="17"/>
      <c r="Z37" s="19"/>
    </row>
    <row r="38" spans="3:26" s="18" customFormat="1">
      <c r="C38" s="23"/>
      <c r="D38" s="14"/>
      <c r="E38" s="14"/>
      <c r="F38" s="15"/>
      <c r="G38" s="16"/>
      <c r="H38" s="16"/>
      <c r="I38" s="16"/>
      <c r="J38" s="16"/>
      <c r="K38" s="16"/>
      <c r="L38" s="16"/>
      <c r="M38" s="16"/>
      <c r="N38" s="16"/>
      <c r="O38" s="17"/>
      <c r="Z38" s="19"/>
    </row>
    <row r="39" spans="3:26" s="18" customFormat="1">
      <c r="C39" s="23"/>
      <c r="D39" s="14"/>
      <c r="E39" s="14"/>
      <c r="F39" s="15"/>
      <c r="G39" s="16"/>
      <c r="H39" s="16"/>
      <c r="I39" s="16"/>
      <c r="J39" s="16"/>
      <c r="K39" s="16"/>
      <c r="L39" s="16"/>
      <c r="M39" s="16"/>
      <c r="N39" s="16"/>
      <c r="O39" s="17"/>
      <c r="Z39" s="19"/>
    </row>
    <row r="40" spans="3:26" s="18" customFormat="1">
      <c r="C40" s="23"/>
      <c r="D40" s="14"/>
      <c r="E40" s="14"/>
      <c r="F40" s="15"/>
      <c r="G40" s="16"/>
      <c r="H40" s="16"/>
      <c r="I40" s="16"/>
      <c r="J40" s="16"/>
      <c r="K40" s="16"/>
      <c r="L40" s="16"/>
      <c r="M40" s="16"/>
      <c r="N40" s="16"/>
      <c r="O40" s="17"/>
      <c r="Z40" s="19"/>
    </row>
    <row r="41" spans="3:26" s="18" customFormat="1">
      <c r="C41" s="68"/>
      <c r="D41" s="14"/>
      <c r="E41" s="14"/>
      <c r="F41" s="15"/>
      <c r="G41" s="16"/>
      <c r="H41" s="16"/>
      <c r="I41" s="16"/>
      <c r="J41" s="16"/>
      <c r="K41" s="16"/>
      <c r="L41" s="16"/>
      <c r="M41" s="16"/>
      <c r="N41" s="16"/>
      <c r="O41" s="17"/>
      <c r="Z41" s="19"/>
    </row>
    <row r="42" spans="3:26" s="18" customFormat="1">
      <c r="C42" s="68"/>
      <c r="D42" s="14"/>
      <c r="E42" s="14"/>
      <c r="F42" s="15"/>
      <c r="G42" s="16"/>
      <c r="H42" s="16"/>
      <c r="I42" s="16"/>
      <c r="J42" s="16"/>
      <c r="K42" s="16"/>
      <c r="L42" s="16"/>
      <c r="M42" s="16"/>
      <c r="N42" s="16"/>
      <c r="O42" s="17"/>
      <c r="Z42" s="19"/>
    </row>
    <row r="43" spans="3:26" s="18" customFormat="1">
      <c r="C43" s="68"/>
      <c r="D43" s="14"/>
      <c r="E43" s="14"/>
      <c r="F43" s="15"/>
      <c r="G43" s="16"/>
      <c r="H43" s="16"/>
      <c r="I43" s="16"/>
      <c r="J43" s="16"/>
      <c r="K43" s="16"/>
      <c r="L43" s="16"/>
      <c r="M43" s="16"/>
      <c r="N43" s="16"/>
      <c r="O43" s="17"/>
      <c r="Z43" s="19"/>
    </row>
    <row r="44" spans="3:26" s="18" customFormat="1">
      <c r="C44" s="68"/>
      <c r="D44" s="14"/>
      <c r="E44" s="14"/>
      <c r="F44" s="15"/>
      <c r="G44" s="16"/>
      <c r="H44" s="16"/>
      <c r="I44" s="16"/>
      <c r="J44" s="16"/>
      <c r="K44" s="16"/>
      <c r="L44" s="16"/>
      <c r="M44" s="16"/>
      <c r="N44" s="16"/>
      <c r="O44" s="17"/>
      <c r="Z44" s="19"/>
    </row>
    <row r="45" spans="3:26" s="18" customFormat="1">
      <c r="C45" s="68"/>
      <c r="D45" s="14"/>
      <c r="E45" s="14"/>
      <c r="F45" s="15"/>
      <c r="G45" s="16"/>
      <c r="H45" s="16"/>
      <c r="I45" s="16"/>
      <c r="J45" s="16"/>
      <c r="K45" s="16"/>
      <c r="L45" s="16"/>
      <c r="M45" s="16"/>
      <c r="N45" s="16"/>
      <c r="O45" s="17"/>
      <c r="Z45" s="19"/>
    </row>
    <row r="46" spans="3:26" s="18" customFormat="1">
      <c r="C46" s="68"/>
      <c r="D46" s="14"/>
      <c r="E46" s="14"/>
      <c r="F46" s="15"/>
      <c r="G46" s="16"/>
      <c r="H46" s="16"/>
      <c r="I46" s="16"/>
      <c r="J46" s="16"/>
      <c r="K46" s="16"/>
      <c r="L46" s="16"/>
      <c r="M46" s="16"/>
      <c r="N46" s="16"/>
      <c r="O46" s="17"/>
      <c r="Z46" s="19"/>
    </row>
    <row r="47" spans="3:26" s="18" customFormat="1">
      <c r="C47" s="68"/>
      <c r="D47" s="14"/>
      <c r="E47" s="14"/>
      <c r="F47" s="15"/>
      <c r="G47" s="16"/>
      <c r="H47" s="16"/>
      <c r="I47" s="16"/>
      <c r="J47" s="16"/>
      <c r="K47" s="16"/>
      <c r="L47" s="16"/>
      <c r="M47" s="16"/>
      <c r="N47" s="16"/>
      <c r="O47" s="17"/>
      <c r="Z47" s="19"/>
    </row>
    <row r="48" spans="3:26" s="18" customFormat="1">
      <c r="C48" s="68"/>
      <c r="D48" s="14"/>
      <c r="E48" s="14"/>
      <c r="F48" s="15"/>
      <c r="G48" s="16"/>
      <c r="H48" s="16"/>
      <c r="I48" s="16"/>
      <c r="J48" s="16"/>
      <c r="K48" s="16"/>
      <c r="L48" s="16"/>
      <c r="M48" s="16"/>
      <c r="N48" s="16"/>
      <c r="O48" s="17"/>
      <c r="Z48" s="19"/>
    </row>
    <row r="49" spans="3:26" s="18" customFormat="1">
      <c r="C49" s="68"/>
      <c r="D49" s="14"/>
      <c r="E49" s="14"/>
      <c r="F49" s="15"/>
      <c r="G49" s="16"/>
      <c r="H49" s="16"/>
      <c r="I49" s="16"/>
      <c r="J49" s="16"/>
      <c r="K49" s="16"/>
      <c r="L49" s="16"/>
      <c r="M49" s="16"/>
      <c r="N49" s="16"/>
      <c r="O49" s="17"/>
      <c r="Z49" s="19"/>
    </row>
    <row r="50" spans="3:26" s="18" customFormat="1">
      <c r="C50" s="68"/>
      <c r="D50" s="14"/>
      <c r="E50" s="14"/>
      <c r="F50" s="15"/>
      <c r="G50" s="16"/>
      <c r="H50" s="16"/>
      <c r="I50" s="16"/>
      <c r="J50" s="16"/>
      <c r="K50" s="16"/>
      <c r="L50" s="16"/>
      <c r="M50" s="16"/>
      <c r="N50" s="16"/>
      <c r="O50" s="17"/>
      <c r="Z50" s="19"/>
    </row>
    <row r="51" spans="3:26" s="18" customFormat="1">
      <c r="C51" s="68"/>
      <c r="D51" s="14"/>
      <c r="E51" s="14"/>
      <c r="F51" s="15"/>
      <c r="G51" s="16"/>
      <c r="H51" s="16"/>
      <c r="I51" s="16"/>
      <c r="J51" s="16"/>
      <c r="K51" s="16"/>
      <c r="L51" s="16"/>
      <c r="M51" s="16"/>
      <c r="N51" s="16"/>
      <c r="O51" s="17"/>
      <c r="Z51" s="19"/>
    </row>
    <row r="52" spans="3:26" s="18" customFormat="1">
      <c r="C52" s="68"/>
      <c r="D52" s="14"/>
      <c r="E52" s="14"/>
      <c r="F52" s="15"/>
      <c r="G52" s="16"/>
      <c r="H52" s="16"/>
      <c r="I52" s="16"/>
      <c r="J52" s="16"/>
      <c r="K52" s="16"/>
      <c r="L52" s="16"/>
      <c r="M52" s="16"/>
      <c r="N52" s="16"/>
      <c r="O52" s="17"/>
      <c r="Z52" s="19"/>
    </row>
    <row r="53" spans="3:26" s="18" customFormat="1">
      <c r="C53" s="68"/>
      <c r="D53" s="14"/>
      <c r="E53" s="14"/>
      <c r="F53" s="15"/>
      <c r="G53" s="16"/>
      <c r="H53" s="16"/>
      <c r="I53" s="16"/>
      <c r="J53" s="16"/>
      <c r="K53" s="16"/>
      <c r="L53" s="16"/>
      <c r="M53" s="16"/>
      <c r="N53" s="16"/>
      <c r="O53" s="17"/>
      <c r="Z53" s="19"/>
    </row>
    <row r="54" spans="3:26" s="18" customFormat="1">
      <c r="C54" s="68"/>
      <c r="D54" s="14"/>
      <c r="E54" s="14"/>
      <c r="F54" s="15"/>
      <c r="G54" s="16"/>
      <c r="H54" s="16"/>
      <c r="I54" s="16"/>
      <c r="J54" s="16"/>
      <c r="K54" s="16"/>
      <c r="L54" s="16"/>
      <c r="M54" s="16"/>
      <c r="N54" s="16"/>
      <c r="O54" s="17"/>
      <c r="Z54" s="19"/>
    </row>
    <row r="55" spans="3:26" s="18" customFormat="1">
      <c r="C55" s="68"/>
      <c r="D55" s="14"/>
      <c r="E55" s="14"/>
      <c r="F55" s="15"/>
      <c r="G55" s="16"/>
      <c r="H55" s="16"/>
      <c r="I55" s="16"/>
      <c r="J55" s="16"/>
      <c r="K55" s="16"/>
      <c r="L55" s="16"/>
      <c r="M55" s="16"/>
      <c r="N55" s="16"/>
      <c r="O55" s="17"/>
      <c r="Z55" s="19"/>
    </row>
    <row r="56" spans="3:26" s="18" customFormat="1">
      <c r="C56" s="68"/>
      <c r="D56" s="14"/>
      <c r="E56" s="14"/>
      <c r="F56" s="15"/>
      <c r="G56" s="16"/>
      <c r="H56" s="16"/>
      <c r="I56" s="16"/>
      <c r="J56" s="16"/>
      <c r="K56" s="16"/>
      <c r="L56" s="16"/>
      <c r="M56" s="16"/>
      <c r="N56" s="16"/>
      <c r="O56" s="17"/>
      <c r="Z56" s="19"/>
    </row>
    <row r="57" spans="3:26" s="18" customFormat="1">
      <c r="C57" s="68"/>
      <c r="D57" s="14"/>
      <c r="E57" s="14"/>
      <c r="F57" s="15"/>
      <c r="G57" s="16"/>
      <c r="H57" s="16"/>
      <c r="I57" s="16"/>
      <c r="J57" s="16"/>
      <c r="K57" s="16"/>
      <c r="L57" s="16"/>
      <c r="M57" s="16"/>
      <c r="N57" s="16"/>
      <c r="O57" s="17"/>
      <c r="Z57" s="19"/>
    </row>
    <row r="58" spans="3:26" s="18" customFormat="1">
      <c r="C58" s="68"/>
      <c r="D58" s="14"/>
      <c r="E58" s="14"/>
      <c r="F58" s="15"/>
      <c r="G58" s="16"/>
      <c r="H58" s="16"/>
      <c r="I58" s="16"/>
      <c r="J58" s="16"/>
      <c r="K58" s="16"/>
      <c r="L58" s="16"/>
      <c r="M58" s="16"/>
      <c r="N58" s="16"/>
      <c r="O58" s="17"/>
      <c r="Z58" s="19"/>
    </row>
    <row r="59" spans="3:26" s="18" customFormat="1">
      <c r="C59" s="68"/>
      <c r="D59" s="14"/>
      <c r="E59" s="14"/>
      <c r="F59" s="15"/>
      <c r="G59" s="16"/>
      <c r="H59" s="16"/>
      <c r="I59" s="16"/>
      <c r="J59" s="16"/>
      <c r="K59" s="16"/>
      <c r="L59" s="16"/>
      <c r="M59" s="16"/>
      <c r="N59" s="16"/>
      <c r="O59" s="17"/>
      <c r="Z59" s="19"/>
    </row>
    <row r="60" spans="3:26" s="18" customFormat="1">
      <c r="C60" s="68"/>
      <c r="D60" s="14"/>
      <c r="E60" s="14"/>
      <c r="F60" s="15"/>
      <c r="G60" s="16"/>
      <c r="H60" s="16"/>
      <c r="I60" s="16"/>
      <c r="J60" s="16"/>
      <c r="K60" s="16"/>
      <c r="L60" s="16"/>
      <c r="M60" s="16"/>
      <c r="N60" s="16"/>
      <c r="O60" s="17"/>
      <c r="Z60" s="19"/>
    </row>
    <row r="61" spans="3:26" s="18" customFormat="1">
      <c r="C61" s="68"/>
      <c r="D61" s="14"/>
      <c r="E61" s="14"/>
      <c r="F61" s="15"/>
      <c r="G61" s="16"/>
      <c r="H61" s="16"/>
      <c r="I61" s="16"/>
      <c r="J61" s="16"/>
      <c r="K61" s="16"/>
      <c r="L61" s="16"/>
      <c r="M61" s="16"/>
      <c r="N61" s="16"/>
      <c r="O61" s="17"/>
      <c r="Z61" s="19"/>
    </row>
    <row r="62" spans="3:26" s="18" customFormat="1">
      <c r="C62" s="68"/>
      <c r="D62" s="14"/>
      <c r="E62" s="14"/>
      <c r="F62" s="15"/>
      <c r="G62" s="16"/>
      <c r="H62" s="16"/>
      <c r="I62" s="16"/>
      <c r="J62" s="16"/>
      <c r="K62" s="16"/>
      <c r="L62" s="16"/>
      <c r="M62" s="16"/>
      <c r="N62" s="16"/>
      <c r="O62" s="17"/>
      <c r="Z62" s="19"/>
    </row>
    <row r="63" spans="3:26" s="18" customFormat="1">
      <c r="C63" s="68"/>
      <c r="D63" s="14"/>
      <c r="E63" s="14"/>
      <c r="F63" s="15"/>
      <c r="G63" s="16"/>
      <c r="H63" s="16"/>
      <c r="I63" s="16"/>
      <c r="J63" s="16"/>
      <c r="K63" s="16"/>
      <c r="L63" s="16"/>
      <c r="M63" s="16"/>
      <c r="N63" s="16"/>
      <c r="O63" s="17"/>
      <c r="Z63" s="19"/>
    </row>
    <row r="64" spans="3:26" s="18" customFormat="1">
      <c r="C64" s="68"/>
      <c r="D64" s="14"/>
      <c r="E64" s="14"/>
      <c r="F64" s="15"/>
      <c r="G64" s="16"/>
      <c r="H64" s="16"/>
      <c r="I64" s="16"/>
      <c r="J64" s="16"/>
      <c r="K64" s="16"/>
      <c r="L64" s="16"/>
      <c r="M64" s="16"/>
      <c r="N64" s="16"/>
      <c r="O64" s="17"/>
      <c r="Z64" s="19"/>
    </row>
    <row r="65" spans="3:26" s="18" customFormat="1">
      <c r="C65" s="68"/>
      <c r="D65" s="14"/>
      <c r="E65" s="14"/>
      <c r="F65" s="15"/>
      <c r="G65" s="16"/>
      <c r="H65" s="16"/>
      <c r="I65" s="16"/>
      <c r="J65" s="16"/>
      <c r="K65" s="16"/>
      <c r="L65" s="16"/>
      <c r="M65" s="16"/>
      <c r="N65" s="16"/>
      <c r="O65" s="17"/>
      <c r="Z65" s="19"/>
    </row>
    <row r="66" spans="3:26" s="18" customFormat="1">
      <c r="C66" s="68"/>
      <c r="D66" s="14"/>
      <c r="E66" s="14"/>
      <c r="F66" s="15"/>
      <c r="G66" s="16"/>
      <c r="H66" s="16"/>
      <c r="I66" s="16"/>
      <c r="J66" s="16"/>
      <c r="K66" s="16"/>
      <c r="L66" s="16"/>
      <c r="M66" s="16"/>
      <c r="N66" s="16"/>
      <c r="O66" s="17"/>
      <c r="Z66" s="19"/>
    </row>
    <row r="67" spans="3:26" s="18" customFormat="1">
      <c r="C67" s="68"/>
      <c r="D67" s="14"/>
      <c r="E67" s="14"/>
      <c r="F67" s="15"/>
      <c r="G67" s="16"/>
      <c r="H67" s="16"/>
      <c r="I67" s="16"/>
      <c r="J67" s="16"/>
      <c r="K67" s="16"/>
      <c r="L67" s="16"/>
      <c r="M67" s="16"/>
      <c r="N67" s="16"/>
      <c r="O67" s="17"/>
      <c r="Z67" s="19"/>
    </row>
    <row r="68" spans="3:26" s="18" customFormat="1">
      <c r="C68" s="68"/>
      <c r="D68" s="14"/>
      <c r="E68" s="14"/>
      <c r="F68" s="15"/>
      <c r="G68" s="16"/>
      <c r="H68" s="16"/>
      <c r="I68" s="16"/>
      <c r="J68" s="16"/>
      <c r="K68" s="16"/>
      <c r="L68" s="16"/>
      <c r="M68" s="16"/>
      <c r="N68" s="16"/>
      <c r="O68" s="17"/>
      <c r="Z68" s="19"/>
    </row>
    <row r="69" spans="3:26" s="18" customFormat="1">
      <c r="C69" s="68"/>
      <c r="D69" s="14"/>
      <c r="E69" s="14"/>
      <c r="F69" s="15"/>
      <c r="G69" s="16"/>
      <c r="H69" s="16"/>
      <c r="I69" s="16"/>
      <c r="J69" s="16"/>
      <c r="K69" s="16"/>
      <c r="L69" s="16"/>
      <c r="M69" s="16"/>
      <c r="N69" s="16"/>
      <c r="O69" s="17"/>
      <c r="Z69" s="19"/>
    </row>
    <row r="70" spans="3:26" s="18" customFormat="1">
      <c r="C70" s="68"/>
      <c r="D70" s="14"/>
      <c r="E70" s="14"/>
      <c r="F70" s="15"/>
      <c r="G70" s="16"/>
      <c r="H70" s="16"/>
      <c r="I70" s="16"/>
      <c r="J70" s="16"/>
      <c r="K70" s="16"/>
      <c r="L70" s="16"/>
      <c r="M70" s="16"/>
      <c r="N70" s="16"/>
      <c r="O70" s="17"/>
      <c r="Z70" s="19"/>
    </row>
    <row r="71" spans="3:26" s="18" customFormat="1">
      <c r="C71" s="68"/>
      <c r="D71" s="14"/>
      <c r="E71" s="14"/>
      <c r="F71" s="15"/>
      <c r="G71" s="16"/>
      <c r="H71" s="16"/>
      <c r="I71" s="16"/>
      <c r="J71" s="16"/>
      <c r="K71" s="16"/>
      <c r="L71" s="16"/>
      <c r="M71" s="16"/>
      <c r="N71" s="16"/>
      <c r="O71" s="17"/>
      <c r="Z71" s="19"/>
    </row>
  </sheetData>
  <phoneticPr fontId="0"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enableFormatConditionsCalculation="0">
    <tabColor indexed="12"/>
  </sheetPr>
  <dimension ref="C1:AA71"/>
  <sheetViews>
    <sheetView showZeros="0" workbookViewId="0">
      <selection activeCell="Z27" sqref="Z27"/>
    </sheetView>
  </sheetViews>
  <sheetFormatPr defaultRowHeight="12.75"/>
  <cols>
    <col min="1" max="1" width="2.7109375" customWidth="1"/>
    <col min="2" max="2" width="3.42578125" customWidth="1"/>
    <col min="3" max="3" width="12.28515625" style="8" customWidth="1"/>
    <col min="4" max="5" width="5.28515625" style="2" customWidth="1"/>
    <col min="6" max="6" width="5.42578125" style="5" customWidth="1"/>
    <col min="7" max="14" width="5.42578125" style="3" customWidth="1"/>
    <col min="15" max="15" width="5.42578125" style="4" customWidth="1"/>
    <col min="16" max="25" width="5.42578125" customWidth="1"/>
    <col min="26" max="26" width="6.28515625" style="1" customWidth="1"/>
    <col min="27" max="27" width="15" customWidth="1"/>
  </cols>
  <sheetData>
    <row r="1" spans="3:27">
      <c r="C1" s="25" t="s">
        <v>66</v>
      </c>
    </row>
    <row r="2" spans="3:27">
      <c r="C2" s="1"/>
      <c r="F2" s="3"/>
    </row>
    <row r="3" spans="3:27" s="4" customFormat="1" ht="13.5" thickBot="1">
      <c r="C3"/>
      <c r="D3" s="9" t="str">
        <f>Score!C1</f>
        <v>P</v>
      </c>
      <c r="E3" s="9">
        <f>Score!E1</f>
        <v>2</v>
      </c>
      <c r="F3" s="9">
        <f>Score!F1</f>
        <v>3</v>
      </c>
      <c r="G3" s="9">
        <f>Score!G1</f>
        <v>4</v>
      </c>
      <c r="H3" s="9">
        <f>Score!H1</f>
        <v>5</v>
      </c>
      <c r="I3" s="9">
        <f>Score!I1</f>
        <v>6</v>
      </c>
      <c r="J3" s="9">
        <f>Score!J1</f>
        <v>7</v>
      </c>
      <c r="K3" s="9">
        <f>Score!K1</f>
        <v>8</v>
      </c>
      <c r="L3" s="9">
        <f>Score!L1</f>
        <v>9</v>
      </c>
      <c r="M3" s="9">
        <f>Score!M1</f>
        <v>10</v>
      </c>
      <c r="N3" s="9">
        <f>Score!N1</f>
        <v>11</v>
      </c>
      <c r="O3" s="9">
        <f>Score!O1</f>
        <v>12</v>
      </c>
      <c r="P3" s="9">
        <f>Score!P1</f>
        <v>13</v>
      </c>
      <c r="Q3" s="9">
        <f>Score!Q1</f>
        <v>14</v>
      </c>
      <c r="R3" s="9">
        <f>Score!R1</f>
        <v>15</v>
      </c>
      <c r="S3" s="9">
        <f>Score!S1</f>
        <v>16</v>
      </c>
      <c r="T3" s="9">
        <f>Score!T1</f>
        <v>17</v>
      </c>
      <c r="U3" s="9">
        <f>Score!U1</f>
        <v>18</v>
      </c>
      <c r="V3" s="9">
        <f>Score!V1</f>
        <v>19</v>
      </c>
      <c r="W3" s="9">
        <f>Score!W1</f>
        <v>20</v>
      </c>
      <c r="X3" s="9" t="e">
        <f>Score!#REF!</f>
        <v>#REF!</v>
      </c>
      <c r="Y3" s="9" t="s">
        <v>2</v>
      </c>
      <c r="Z3" s="7"/>
    </row>
    <row r="4" spans="3:27">
      <c r="C4" t="s">
        <v>29</v>
      </c>
      <c r="D4" s="2" t="e">
        <f>VLOOKUP($C4,Score!$B$2:$X$71,2,0)</f>
        <v>#N/A</v>
      </c>
      <c r="E4" s="2" t="e">
        <f>VLOOKUP($C4,Score!$B$2:$X$71,3,0)</f>
        <v>#N/A</v>
      </c>
      <c r="F4" s="2" t="e">
        <f>VLOOKUP($C4,Score!$B$2:$X$71,4,0)</f>
        <v>#N/A</v>
      </c>
      <c r="G4" s="2" t="e">
        <f>VLOOKUP($C4,Score!$B$2:$X$71,5,0)</f>
        <v>#N/A</v>
      </c>
      <c r="H4" s="2" t="e">
        <f>VLOOKUP($C4,Score!$B$2:$X$71,6,0)</f>
        <v>#N/A</v>
      </c>
      <c r="I4" s="2" t="e">
        <f>VLOOKUP($C4,Score!$B$2:$X$71,7,0)</f>
        <v>#N/A</v>
      </c>
      <c r="J4" s="2" t="e">
        <f>VLOOKUP($C4,Score!$B$2:$X$71,8,0)</f>
        <v>#N/A</v>
      </c>
      <c r="K4" s="2" t="e">
        <f>VLOOKUP($C4,Score!$B$2:$X$71,9,0)</f>
        <v>#N/A</v>
      </c>
      <c r="L4" s="2" t="e">
        <f>VLOOKUP($C4,Score!$B$2:$X$71,10,0)</f>
        <v>#N/A</v>
      </c>
      <c r="M4" s="2" t="e">
        <f>VLOOKUP($C4,Score!$B$2:$X$71,11,0)</f>
        <v>#N/A</v>
      </c>
      <c r="N4" s="2" t="e">
        <f>VLOOKUP($C4,Score!$B$2:$X$71,12,0)</f>
        <v>#N/A</v>
      </c>
      <c r="O4" s="2" t="e">
        <f>VLOOKUP($C4,Score!$B$2:$X$71,13,0)</f>
        <v>#N/A</v>
      </c>
      <c r="P4" s="2" t="e">
        <f>VLOOKUP($C4,Score!$B$2:$X$71,14,0)</f>
        <v>#N/A</v>
      </c>
      <c r="Q4" s="2" t="e">
        <f>VLOOKUP($C4,Score!$B$2:$X$71,15,0)</f>
        <v>#N/A</v>
      </c>
      <c r="R4" s="2" t="e">
        <f>VLOOKUP($C4,Score!$B$2:$X$71,16,0)</f>
        <v>#N/A</v>
      </c>
      <c r="S4" s="2" t="e">
        <f>VLOOKUP($C4,Score!$B$2:$X$71,17,0)</f>
        <v>#N/A</v>
      </c>
      <c r="T4" s="2" t="e">
        <f>VLOOKUP($C4,Score!$B$2:$X$71,18,0)</f>
        <v>#N/A</v>
      </c>
      <c r="U4" s="2" t="e">
        <f>VLOOKUP($C4,Score!$B$2:$X$71,19,0)</f>
        <v>#N/A</v>
      </c>
      <c r="V4" s="2" t="e">
        <f>VLOOKUP($C4,Score!$B$2:$X$71,20,0)</f>
        <v>#N/A</v>
      </c>
      <c r="W4" s="2" t="e">
        <f>VLOOKUP($C4,Score!$B$2:$Z$70,21,0)</f>
        <v>#N/A</v>
      </c>
      <c r="X4" s="2" t="e">
        <f>VLOOKUP($C4,Score!$B$2:$Z$70,22,0)</f>
        <v>#N/A</v>
      </c>
      <c r="Y4" s="2" t="e">
        <f>VLOOKUP($C4,Score!$B$2:$Z$70,24,0)</f>
        <v>#N/A</v>
      </c>
      <c r="Z4" s="6" t="e">
        <f t="shared" ref="Z4:Z19" si="0">SUM(D4:Y4)</f>
        <v>#N/A</v>
      </c>
      <c r="AA4" t="str">
        <f t="shared" ref="AA4:AA20" si="1">C4</f>
        <v>Test</v>
      </c>
    </row>
    <row r="5" spans="3:27">
      <c r="C5" t="s">
        <v>30</v>
      </c>
      <c r="D5" s="2" t="e">
        <f>VLOOKUP($C5,Score!$B$2:$X$71,2,0)</f>
        <v>#N/A</v>
      </c>
      <c r="E5" s="2" t="e">
        <f>VLOOKUP($C5,Score!$B$2:$X$71,3,0)</f>
        <v>#N/A</v>
      </c>
      <c r="F5" s="2" t="e">
        <f>VLOOKUP($C5,Score!$B$2:$X$71,4,0)</f>
        <v>#N/A</v>
      </c>
      <c r="G5" s="2" t="e">
        <f>VLOOKUP($C5,Score!$B$2:$X$71,5,0)</f>
        <v>#N/A</v>
      </c>
      <c r="H5" s="2" t="e">
        <f>VLOOKUP($C5,Score!$B$2:$X$71,6,0)</f>
        <v>#N/A</v>
      </c>
      <c r="I5" s="2" t="e">
        <f>VLOOKUP($C5,Score!$B$2:$X$71,7,0)</f>
        <v>#N/A</v>
      </c>
      <c r="J5" s="2" t="e">
        <f>VLOOKUP($C5,Score!$B$2:$X$71,8,0)</f>
        <v>#N/A</v>
      </c>
      <c r="K5" s="2" t="e">
        <f>VLOOKUP($C5,Score!$B$2:$X$71,9,0)</f>
        <v>#N/A</v>
      </c>
      <c r="L5" s="2" t="e">
        <f>VLOOKUP($C5,Score!$B$2:$X$71,10,0)</f>
        <v>#N/A</v>
      </c>
      <c r="M5" s="2" t="e">
        <f>VLOOKUP($C5,Score!$B$2:$X$71,11,0)</f>
        <v>#N/A</v>
      </c>
      <c r="N5" s="2" t="e">
        <f>VLOOKUP($C5,Score!$B$2:$X$71,12,0)</f>
        <v>#N/A</v>
      </c>
      <c r="O5" s="2" t="e">
        <f>VLOOKUP($C5,Score!$B$2:$X$71,13,0)</f>
        <v>#N/A</v>
      </c>
      <c r="P5" s="2" t="e">
        <f>VLOOKUP($C5,Score!$B$2:$X$71,14,0)</f>
        <v>#N/A</v>
      </c>
      <c r="Q5" s="2" t="e">
        <f>VLOOKUP($C5,Score!$B$2:$X$71,15,0)</f>
        <v>#N/A</v>
      </c>
      <c r="R5" s="2" t="e">
        <f>VLOOKUP($C5,Score!$B$2:$X$71,16,0)</f>
        <v>#N/A</v>
      </c>
      <c r="S5" s="2" t="e">
        <f>VLOOKUP($C5,Score!$B$2:$X$71,17,0)</f>
        <v>#N/A</v>
      </c>
      <c r="T5" s="2" t="e">
        <f>VLOOKUP($C5,Score!$B$2:$X$71,18,0)</f>
        <v>#N/A</v>
      </c>
      <c r="U5" s="2" t="e">
        <f>VLOOKUP($C5,Score!$B$2:$X$71,19,0)</f>
        <v>#N/A</v>
      </c>
      <c r="V5" s="2" t="e">
        <f>VLOOKUP($C5,Score!$B$2:$X$71,20,0)</f>
        <v>#N/A</v>
      </c>
      <c r="W5" s="2" t="e">
        <f>VLOOKUP($C5,Score!$B$2:$Z$70,21,0)</f>
        <v>#N/A</v>
      </c>
      <c r="X5" s="2" t="e">
        <f>VLOOKUP($C5,Score!$B$2:$Z$70,22,0)</f>
        <v>#N/A</v>
      </c>
      <c r="Y5" s="2" t="e">
        <f>VLOOKUP($C5,Score!$B$2:$Z$70,24,0)</f>
        <v>#N/A</v>
      </c>
      <c r="Z5" s="6" t="e">
        <f t="shared" si="0"/>
        <v>#N/A</v>
      </c>
      <c r="AA5" t="str">
        <f t="shared" si="1"/>
        <v>test2</v>
      </c>
    </row>
    <row r="6" spans="3:27">
      <c r="C6" t="s">
        <v>31</v>
      </c>
      <c r="D6" s="2" t="e">
        <f>VLOOKUP($C6,Score!$B$2:$X$71,2,0)</f>
        <v>#N/A</v>
      </c>
      <c r="E6" s="2" t="e">
        <f>VLOOKUP($C6,Score!$B$2:$X$71,3,0)</f>
        <v>#N/A</v>
      </c>
      <c r="F6" s="2" t="e">
        <f>VLOOKUP($C6,Score!$B$2:$X$71,4,0)</f>
        <v>#N/A</v>
      </c>
      <c r="G6" s="2" t="e">
        <f>VLOOKUP($C6,Score!$B$2:$X$71,5,0)</f>
        <v>#N/A</v>
      </c>
      <c r="H6" s="2" t="e">
        <f>VLOOKUP($C6,Score!$B$2:$X$71,6,0)</f>
        <v>#N/A</v>
      </c>
      <c r="I6" s="2" t="e">
        <f>VLOOKUP($C6,Score!$B$2:$X$71,7,0)</f>
        <v>#N/A</v>
      </c>
      <c r="J6" s="2" t="e">
        <f>VLOOKUP($C6,Score!$B$2:$X$71,8,0)</f>
        <v>#N/A</v>
      </c>
      <c r="K6" s="2" t="e">
        <f>VLOOKUP($C6,Score!$B$2:$X$71,9,0)</f>
        <v>#N/A</v>
      </c>
      <c r="L6" s="2" t="e">
        <f>VLOOKUP($C6,Score!$B$2:$X$71,10,0)</f>
        <v>#N/A</v>
      </c>
      <c r="M6" s="2" t="e">
        <f>VLOOKUP($C6,Score!$B$2:$X$71,11,0)</f>
        <v>#N/A</v>
      </c>
      <c r="N6" s="2" t="e">
        <f>VLOOKUP($C6,Score!$B$2:$X$71,12,0)</f>
        <v>#N/A</v>
      </c>
      <c r="O6" s="2" t="e">
        <f>VLOOKUP($C6,Score!$B$2:$X$71,13,0)</f>
        <v>#N/A</v>
      </c>
      <c r="P6" s="2" t="e">
        <f>VLOOKUP($C6,Score!$B$2:$X$71,14,0)</f>
        <v>#N/A</v>
      </c>
      <c r="Q6" s="2" t="e">
        <f>VLOOKUP($C6,Score!$B$2:$X$71,15,0)</f>
        <v>#N/A</v>
      </c>
      <c r="R6" s="2" t="e">
        <f>VLOOKUP($C6,Score!$B$2:$X$71,16,0)</f>
        <v>#N/A</v>
      </c>
      <c r="S6" s="2" t="e">
        <f>VLOOKUP($C6,Score!$B$2:$X$71,17,0)</f>
        <v>#N/A</v>
      </c>
      <c r="T6" s="2" t="e">
        <f>VLOOKUP($C6,Score!$B$2:$X$71,18,0)</f>
        <v>#N/A</v>
      </c>
      <c r="U6" s="2" t="e">
        <f>VLOOKUP($C6,Score!$B$2:$X$71,19,0)</f>
        <v>#N/A</v>
      </c>
      <c r="V6" s="2" t="e">
        <f>VLOOKUP($C6,Score!$B$2:$X$71,20,0)</f>
        <v>#N/A</v>
      </c>
      <c r="W6" s="2" t="e">
        <f>VLOOKUP($C6,Score!$B$2:$Z$70,21,0)</f>
        <v>#N/A</v>
      </c>
      <c r="X6" s="2" t="e">
        <f>VLOOKUP($C6,Score!$B$2:$Z$70,22,0)</f>
        <v>#N/A</v>
      </c>
      <c r="Y6" s="2" t="e">
        <f>VLOOKUP($C6,Score!$B$2:$Z$70,24,0)</f>
        <v>#N/A</v>
      </c>
      <c r="Z6" s="6" t="e">
        <f t="shared" si="0"/>
        <v>#N/A</v>
      </c>
      <c r="AA6" t="str">
        <f t="shared" si="1"/>
        <v>test3</v>
      </c>
    </row>
    <row r="7" spans="3:27">
      <c r="C7" t="s">
        <v>52</v>
      </c>
      <c r="D7" s="2" t="e">
        <f>VLOOKUP($C7,Score!$B$2:$X$71,2,0)</f>
        <v>#N/A</v>
      </c>
      <c r="E7" s="2" t="e">
        <f>VLOOKUP($C7,Score!$B$2:$X$71,3,0)</f>
        <v>#N/A</v>
      </c>
      <c r="F7" s="2" t="e">
        <f>VLOOKUP($C7,Score!$B$2:$X$71,4,0)</f>
        <v>#N/A</v>
      </c>
      <c r="G7" s="2" t="e">
        <f>VLOOKUP($C7,Score!$B$2:$X$71,5,0)</f>
        <v>#N/A</v>
      </c>
      <c r="H7" s="2" t="e">
        <f>VLOOKUP($C7,Score!$B$2:$X$71,6,0)</f>
        <v>#N/A</v>
      </c>
      <c r="I7" s="2" t="e">
        <f>VLOOKUP($C7,Score!$B$2:$X$71,7,0)</f>
        <v>#N/A</v>
      </c>
      <c r="J7" s="2" t="e">
        <f>VLOOKUP($C7,Score!$B$2:$X$71,8,0)</f>
        <v>#N/A</v>
      </c>
      <c r="K7" s="2" t="e">
        <f>VLOOKUP($C7,Score!$B$2:$X$71,9,0)</f>
        <v>#N/A</v>
      </c>
      <c r="L7" s="2" t="e">
        <f>VLOOKUP($C7,Score!$B$2:$X$71,10,0)</f>
        <v>#N/A</v>
      </c>
      <c r="M7" s="2" t="e">
        <f>VLOOKUP($C7,Score!$B$2:$X$71,11,0)</f>
        <v>#N/A</v>
      </c>
      <c r="N7" s="2" t="e">
        <f>VLOOKUP($C7,Score!$B$2:$X$71,12,0)</f>
        <v>#N/A</v>
      </c>
      <c r="O7" s="2" t="e">
        <f>VLOOKUP($C7,Score!$B$2:$X$71,13,0)</f>
        <v>#N/A</v>
      </c>
      <c r="P7" s="2" t="e">
        <f>VLOOKUP($C7,Score!$B$2:$X$71,14,0)</f>
        <v>#N/A</v>
      </c>
      <c r="Q7" s="2" t="e">
        <f>VLOOKUP($C7,Score!$B$2:$X$71,15,0)</f>
        <v>#N/A</v>
      </c>
      <c r="R7" s="2" t="e">
        <f>VLOOKUP($C7,Score!$B$2:$X$71,16,0)</f>
        <v>#N/A</v>
      </c>
      <c r="S7" s="2" t="e">
        <f>VLOOKUP($C7,Score!$B$2:$X$71,17,0)</f>
        <v>#N/A</v>
      </c>
      <c r="T7" s="2" t="e">
        <f>VLOOKUP($C7,Score!$B$2:$X$71,18,0)</f>
        <v>#N/A</v>
      </c>
      <c r="U7" s="2" t="e">
        <f>VLOOKUP($C7,Score!$B$2:$X$71,19,0)</f>
        <v>#N/A</v>
      </c>
      <c r="V7" s="2" t="e">
        <f>VLOOKUP($C7,Score!$B$2:$X$71,20,0)</f>
        <v>#N/A</v>
      </c>
      <c r="W7" s="2" t="e">
        <f>VLOOKUP($C7,Score!$B$2:$Z$70,21,0)</f>
        <v>#N/A</v>
      </c>
      <c r="X7" s="2" t="e">
        <f>VLOOKUP($C7,Score!$B$2:$Z$70,22,0)</f>
        <v>#N/A</v>
      </c>
      <c r="Y7" s="2" t="e">
        <f>VLOOKUP($C7,Score!$B$2:$Z$70,24,0)</f>
        <v>#N/A</v>
      </c>
      <c r="Z7" s="6" t="e">
        <f t="shared" si="0"/>
        <v>#N/A</v>
      </c>
      <c r="AA7" t="str">
        <f t="shared" si="1"/>
        <v>test4</v>
      </c>
    </row>
    <row r="8" spans="3:27">
      <c r="C8" t="s">
        <v>53</v>
      </c>
      <c r="D8" s="2" t="e">
        <f>VLOOKUP($C8,Score!$B$2:$X$71,2,0)</f>
        <v>#N/A</v>
      </c>
      <c r="E8" s="2" t="e">
        <f>VLOOKUP($C8,Score!$B$2:$X$71,3,0)</f>
        <v>#N/A</v>
      </c>
      <c r="F8" s="2" t="e">
        <f>VLOOKUP($C8,Score!$B$2:$X$71,4,0)</f>
        <v>#N/A</v>
      </c>
      <c r="G8" s="2" t="e">
        <f>VLOOKUP($C8,Score!$B$2:$X$71,5,0)</f>
        <v>#N/A</v>
      </c>
      <c r="H8" s="2" t="e">
        <f>VLOOKUP($C8,Score!$B$2:$X$71,6,0)</f>
        <v>#N/A</v>
      </c>
      <c r="I8" s="2" t="e">
        <f>VLOOKUP($C8,Score!$B$2:$X$71,7,0)</f>
        <v>#N/A</v>
      </c>
      <c r="J8" s="2" t="e">
        <f>VLOOKUP($C8,Score!$B$2:$X$71,8,0)</f>
        <v>#N/A</v>
      </c>
      <c r="K8" s="2" t="e">
        <f>VLOOKUP($C8,Score!$B$2:$X$71,9,0)</f>
        <v>#N/A</v>
      </c>
      <c r="L8" s="2" t="e">
        <f>VLOOKUP($C8,Score!$B$2:$X$71,10,0)</f>
        <v>#N/A</v>
      </c>
      <c r="M8" s="2" t="e">
        <f>VLOOKUP($C8,Score!$B$2:$X$71,11,0)</f>
        <v>#N/A</v>
      </c>
      <c r="N8" s="2" t="e">
        <f>VLOOKUP($C8,Score!$B$2:$X$71,12,0)</f>
        <v>#N/A</v>
      </c>
      <c r="O8" s="2" t="e">
        <f>VLOOKUP($C8,Score!$B$2:$X$71,13,0)</f>
        <v>#N/A</v>
      </c>
      <c r="P8" s="2" t="e">
        <f>VLOOKUP($C8,Score!$B$2:$X$71,14,0)</f>
        <v>#N/A</v>
      </c>
      <c r="Q8" s="2" t="e">
        <f>VLOOKUP($C8,Score!$B$2:$X$71,15,0)</f>
        <v>#N/A</v>
      </c>
      <c r="R8" s="2" t="e">
        <f>VLOOKUP($C8,Score!$B$2:$X$71,16,0)</f>
        <v>#N/A</v>
      </c>
      <c r="S8" s="2" t="e">
        <f>VLOOKUP($C8,Score!$B$2:$X$71,17,0)</f>
        <v>#N/A</v>
      </c>
      <c r="T8" s="2" t="e">
        <f>VLOOKUP($C8,Score!$B$2:$X$71,18,0)</f>
        <v>#N/A</v>
      </c>
      <c r="U8" s="2" t="e">
        <f>VLOOKUP($C8,Score!$B$2:$X$71,19,0)</f>
        <v>#N/A</v>
      </c>
      <c r="V8" s="2" t="e">
        <f>VLOOKUP($C8,Score!$B$2:$X$71,20,0)</f>
        <v>#N/A</v>
      </c>
      <c r="W8" s="2" t="e">
        <f>VLOOKUP($C8,Score!$B$2:$Z$70,21,0)</f>
        <v>#N/A</v>
      </c>
      <c r="X8" s="2" t="e">
        <f>VLOOKUP($C8,Score!$B$2:$Z$70,22,0)</f>
        <v>#N/A</v>
      </c>
      <c r="Y8" s="2" t="e">
        <f>VLOOKUP($C8,Score!$B$2:$Z$70,24,0)</f>
        <v>#N/A</v>
      </c>
      <c r="Z8" s="6" t="e">
        <f t="shared" si="0"/>
        <v>#N/A</v>
      </c>
      <c r="AA8" t="str">
        <f t="shared" si="1"/>
        <v>test5</v>
      </c>
    </row>
    <row r="9" spans="3:27">
      <c r="C9" t="s">
        <v>54</v>
      </c>
      <c r="D9" s="2" t="e">
        <f>VLOOKUP($C9,Score!$B$2:$X$71,2,0)</f>
        <v>#N/A</v>
      </c>
      <c r="E9" s="2" t="e">
        <f>VLOOKUP($C9,Score!$B$2:$X$71,3,0)</f>
        <v>#N/A</v>
      </c>
      <c r="F9" s="2" t="e">
        <f>VLOOKUP($C9,Score!$B$2:$X$71,4,0)</f>
        <v>#N/A</v>
      </c>
      <c r="G9" s="2" t="e">
        <f>VLOOKUP($C9,Score!$B$2:$X$71,5,0)</f>
        <v>#N/A</v>
      </c>
      <c r="H9" s="2" t="e">
        <f>VLOOKUP($C9,Score!$B$2:$X$71,6,0)</f>
        <v>#N/A</v>
      </c>
      <c r="I9" s="2" t="e">
        <f>VLOOKUP($C9,Score!$B$2:$X$71,7,0)</f>
        <v>#N/A</v>
      </c>
      <c r="J9" s="2" t="e">
        <f>VLOOKUP($C9,Score!$B$2:$X$71,8,0)</f>
        <v>#N/A</v>
      </c>
      <c r="K9" s="2" t="e">
        <f>VLOOKUP($C9,Score!$B$2:$X$71,9,0)</f>
        <v>#N/A</v>
      </c>
      <c r="L9" s="2" t="e">
        <f>VLOOKUP($C9,Score!$B$2:$X$71,10,0)</f>
        <v>#N/A</v>
      </c>
      <c r="M9" s="2" t="e">
        <f>VLOOKUP($C9,Score!$B$2:$X$71,11,0)</f>
        <v>#N/A</v>
      </c>
      <c r="N9" s="2" t="e">
        <f>VLOOKUP($C9,Score!$B$2:$X$71,12,0)</f>
        <v>#N/A</v>
      </c>
      <c r="O9" s="2" t="e">
        <f>VLOOKUP($C9,Score!$B$2:$X$71,13,0)</f>
        <v>#N/A</v>
      </c>
      <c r="P9" s="2" t="e">
        <f>VLOOKUP($C9,Score!$B$2:$X$71,14,0)</f>
        <v>#N/A</v>
      </c>
      <c r="Q9" s="2" t="e">
        <f>VLOOKUP($C9,Score!$B$2:$X$71,15,0)</f>
        <v>#N/A</v>
      </c>
      <c r="R9" s="2" t="e">
        <f>VLOOKUP($C9,Score!$B$2:$X$71,16,0)</f>
        <v>#N/A</v>
      </c>
      <c r="S9" s="2" t="e">
        <f>VLOOKUP($C9,Score!$B$2:$X$71,17,0)</f>
        <v>#N/A</v>
      </c>
      <c r="T9" s="2" t="e">
        <f>VLOOKUP($C9,Score!$B$2:$X$71,18,0)</f>
        <v>#N/A</v>
      </c>
      <c r="U9" s="2" t="e">
        <f>VLOOKUP($C9,Score!$B$2:$X$71,19,0)</f>
        <v>#N/A</v>
      </c>
      <c r="V9" s="2" t="e">
        <f>VLOOKUP($C9,Score!$B$2:$X$71,20,0)</f>
        <v>#N/A</v>
      </c>
      <c r="W9" s="2" t="e">
        <f>VLOOKUP($C9,Score!$B$2:$Z$70,21,0)</f>
        <v>#N/A</v>
      </c>
      <c r="X9" s="2" t="e">
        <f>VLOOKUP($C9,Score!$B$2:$Z$70,22,0)</f>
        <v>#N/A</v>
      </c>
      <c r="Y9" s="2" t="e">
        <f>VLOOKUP($C9,Score!$B$2:$Z$70,24,0)</f>
        <v>#N/A</v>
      </c>
      <c r="Z9" s="6" t="e">
        <f t="shared" si="0"/>
        <v>#N/A</v>
      </c>
      <c r="AA9" t="str">
        <f t="shared" si="1"/>
        <v>test6</v>
      </c>
    </row>
    <row r="10" spans="3:27">
      <c r="C10" t="s">
        <v>55</v>
      </c>
      <c r="D10" s="2" t="e">
        <f>VLOOKUP($C10,Score!$B$2:$X$71,2,0)</f>
        <v>#N/A</v>
      </c>
      <c r="E10" s="2" t="e">
        <f>VLOOKUP($C10,Score!$B$2:$X$71,3,0)</f>
        <v>#N/A</v>
      </c>
      <c r="F10" s="2" t="e">
        <f>VLOOKUP($C10,Score!$B$2:$X$71,4,0)</f>
        <v>#N/A</v>
      </c>
      <c r="G10" s="2" t="e">
        <f>VLOOKUP($C10,Score!$B$2:$X$71,5,0)</f>
        <v>#N/A</v>
      </c>
      <c r="H10" s="2" t="e">
        <f>VLOOKUP($C10,Score!$B$2:$X$71,6,0)</f>
        <v>#N/A</v>
      </c>
      <c r="I10" s="2" t="e">
        <f>VLOOKUP($C10,Score!$B$2:$X$71,7,0)</f>
        <v>#N/A</v>
      </c>
      <c r="J10" s="2" t="e">
        <f>VLOOKUP($C10,Score!$B$2:$X$71,8,0)</f>
        <v>#N/A</v>
      </c>
      <c r="K10" s="2" t="e">
        <f>VLOOKUP($C10,Score!$B$2:$X$71,9,0)</f>
        <v>#N/A</v>
      </c>
      <c r="L10" s="2" t="e">
        <f>VLOOKUP($C10,Score!$B$2:$X$71,10,0)</f>
        <v>#N/A</v>
      </c>
      <c r="M10" s="2" t="e">
        <f>VLOOKUP($C10,Score!$B$2:$X$71,11,0)</f>
        <v>#N/A</v>
      </c>
      <c r="N10" s="2" t="e">
        <f>VLOOKUP($C10,Score!$B$2:$X$71,12,0)</f>
        <v>#N/A</v>
      </c>
      <c r="O10" s="2" t="e">
        <f>VLOOKUP($C10,Score!$B$2:$X$71,13,0)</f>
        <v>#N/A</v>
      </c>
      <c r="P10" s="2" t="e">
        <f>VLOOKUP($C10,Score!$B$2:$X$71,14,0)</f>
        <v>#N/A</v>
      </c>
      <c r="Q10" s="2" t="e">
        <f>VLOOKUP($C10,Score!$B$2:$X$71,15,0)</f>
        <v>#N/A</v>
      </c>
      <c r="R10" s="2" t="e">
        <f>VLOOKUP($C10,Score!$B$2:$X$71,16,0)</f>
        <v>#N/A</v>
      </c>
      <c r="S10" s="2" t="e">
        <f>VLOOKUP($C10,Score!$B$2:$X$71,17,0)</f>
        <v>#N/A</v>
      </c>
      <c r="T10" s="2" t="e">
        <f>VLOOKUP($C10,Score!$B$2:$X$71,18,0)</f>
        <v>#N/A</v>
      </c>
      <c r="U10" s="2" t="e">
        <f>VLOOKUP($C10,Score!$B$2:$X$71,19,0)</f>
        <v>#N/A</v>
      </c>
      <c r="V10" s="2" t="e">
        <f>VLOOKUP($C10,Score!$B$2:$X$71,20,0)</f>
        <v>#N/A</v>
      </c>
      <c r="W10" s="2" t="e">
        <f>VLOOKUP($C10,Score!$B$2:$Z$70,21,0)</f>
        <v>#N/A</v>
      </c>
      <c r="X10" s="2" t="e">
        <f>VLOOKUP($C10,Score!$B$2:$Z$70,22,0)</f>
        <v>#N/A</v>
      </c>
      <c r="Y10" s="2" t="e">
        <f>VLOOKUP($C10,Score!$B$2:$Z$70,24,0)</f>
        <v>#N/A</v>
      </c>
      <c r="Z10" s="6" t="e">
        <f t="shared" si="0"/>
        <v>#N/A</v>
      </c>
      <c r="AA10" t="str">
        <f t="shared" si="1"/>
        <v>test7</v>
      </c>
    </row>
    <row r="11" spans="3:27">
      <c r="C11" t="s">
        <v>56</v>
      </c>
      <c r="D11" s="2" t="e">
        <f>VLOOKUP($C11,Score!$B$2:$X$71,2,0)</f>
        <v>#N/A</v>
      </c>
      <c r="E11" s="2" t="e">
        <f>VLOOKUP($C11,Score!$B$2:$X$71,3,0)</f>
        <v>#N/A</v>
      </c>
      <c r="F11" s="2" t="e">
        <f>VLOOKUP($C11,Score!$B$2:$X$71,4,0)</f>
        <v>#N/A</v>
      </c>
      <c r="G11" s="2" t="e">
        <f>VLOOKUP($C11,Score!$B$2:$X$71,5,0)</f>
        <v>#N/A</v>
      </c>
      <c r="H11" s="2" t="e">
        <f>VLOOKUP($C11,Score!$B$2:$X$71,6,0)</f>
        <v>#N/A</v>
      </c>
      <c r="I11" s="2" t="e">
        <f>VLOOKUP($C11,Score!$B$2:$X$71,7,0)</f>
        <v>#N/A</v>
      </c>
      <c r="J11" s="2" t="e">
        <f>VLOOKUP($C11,Score!$B$2:$X$71,8,0)</f>
        <v>#N/A</v>
      </c>
      <c r="K11" s="2" t="e">
        <f>VLOOKUP($C11,Score!$B$2:$X$71,9,0)</f>
        <v>#N/A</v>
      </c>
      <c r="L11" s="2" t="e">
        <f>VLOOKUP($C11,Score!$B$2:$X$71,10,0)</f>
        <v>#N/A</v>
      </c>
      <c r="M11" s="2" t="e">
        <f>VLOOKUP($C11,Score!$B$2:$X$71,11,0)</f>
        <v>#N/A</v>
      </c>
      <c r="N11" s="2" t="e">
        <f>VLOOKUP($C11,Score!$B$2:$X$71,12,0)</f>
        <v>#N/A</v>
      </c>
      <c r="O11" s="2" t="e">
        <f>VLOOKUP($C11,Score!$B$2:$X$71,13,0)</f>
        <v>#N/A</v>
      </c>
      <c r="P11" s="2" t="e">
        <f>VLOOKUP($C11,Score!$B$2:$X$71,14,0)</f>
        <v>#N/A</v>
      </c>
      <c r="Q11" s="2" t="e">
        <f>VLOOKUP($C11,Score!$B$2:$X$71,15,0)</f>
        <v>#N/A</v>
      </c>
      <c r="R11" s="2" t="e">
        <f>VLOOKUP($C11,Score!$B$2:$X$71,16,0)</f>
        <v>#N/A</v>
      </c>
      <c r="S11" s="2" t="e">
        <f>VLOOKUP($C11,Score!$B$2:$X$71,17,0)</f>
        <v>#N/A</v>
      </c>
      <c r="T11" s="2" t="e">
        <f>VLOOKUP($C11,Score!$B$2:$X$71,18,0)</f>
        <v>#N/A</v>
      </c>
      <c r="U11" s="2" t="e">
        <f>VLOOKUP($C11,Score!$B$2:$X$71,19,0)</f>
        <v>#N/A</v>
      </c>
      <c r="V11" s="2" t="e">
        <f>VLOOKUP($C11,Score!$B$2:$X$71,20,0)</f>
        <v>#N/A</v>
      </c>
      <c r="W11" s="2" t="e">
        <f>VLOOKUP($C11,Score!$B$2:$Z$70,21,0)</f>
        <v>#N/A</v>
      </c>
      <c r="X11" s="2" t="e">
        <f>VLOOKUP($C11,Score!$B$2:$Z$70,22,0)</f>
        <v>#N/A</v>
      </c>
      <c r="Y11" s="2" t="e">
        <f>VLOOKUP($C11,Score!$B$2:$Z$70,24,0)</f>
        <v>#N/A</v>
      </c>
      <c r="Z11" s="6" t="e">
        <f t="shared" si="0"/>
        <v>#N/A</v>
      </c>
      <c r="AA11" t="str">
        <f t="shared" si="1"/>
        <v>test8</v>
      </c>
    </row>
    <row r="12" spans="3:27">
      <c r="C12" t="s">
        <v>57</v>
      </c>
      <c r="D12" s="2" t="e">
        <f>VLOOKUP($C12,Score!$B$2:$X$71,2,0)</f>
        <v>#N/A</v>
      </c>
      <c r="E12" s="2" t="e">
        <f>VLOOKUP($C12,Score!$B$2:$X$71,3,0)</f>
        <v>#N/A</v>
      </c>
      <c r="F12" s="2" t="e">
        <f>VLOOKUP($C12,Score!$B$2:$X$71,4,0)</f>
        <v>#N/A</v>
      </c>
      <c r="G12" s="2" t="e">
        <f>VLOOKUP($C12,Score!$B$2:$X$71,5,0)</f>
        <v>#N/A</v>
      </c>
      <c r="H12" s="2" t="e">
        <f>VLOOKUP($C12,Score!$B$2:$X$71,6,0)</f>
        <v>#N/A</v>
      </c>
      <c r="I12" s="2" t="e">
        <f>VLOOKUP($C12,Score!$B$2:$X$71,7,0)</f>
        <v>#N/A</v>
      </c>
      <c r="J12" s="2" t="e">
        <f>VLOOKUP($C12,Score!$B$2:$X$71,8,0)</f>
        <v>#N/A</v>
      </c>
      <c r="K12" s="2" t="e">
        <f>VLOOKUP($C12,Score!$B$2:$X$71,9,0)</f>
        <v>#N/A</v>
      </c>
      <c r="L12" s="2" t="e">
        <f>VLOOKUP($C12,Score!$B$2:$X$71,10,0)</f>
        <v>#N/A</v>
      </c>
      <c r="M12" s="2" t="e">
        <f>VLOOKUP($C12,Score!$B$2:$X$71,11,0)</f>
        <v>#N/A</v>
      </c>
      <c r="N12" s="2" t="e">
        <f>VLOOKUP($C12,Score!$B$2:$X$71,12,0)</f>
        <v>#N/A</v>
      </c>
      <c r="O12" s="2" t="e">
        <f>VLOOKUP($C12,Score!$B$2:$X$71,13,0)</f>
        <v>#N/A</v>
      </c>
      <c r="P12" s="2" t="e">
        <f>VLOOKUP($C12,Score!$B$2:$X$71,14,0)</f>
        <v>#N/A</v>
      </c>
      <c r="Q12" s="2" t="e">
        <f>VLOOKUP($C12,Score!$B$2:$X$71,15,0)</f>
        <v>#N/A</v>
      </c>
      <c r="R12" s="2" t="e">
        <f>VLOOKUP($C12,Score!$B$2:$X$71,16,0)</f>
        <v>#N/A</v>
      </c>
      <c r="S12" s="2" t="e">
        <f>VLOOKUP($C12,Score!$B$2:$X$71,17,0)</f>
        <v>#N/A</v>
      </c>
      <c r="T12" s="2" t="e">
        <f>VLOOKUP($C12,Score!$B$2:$X$71,18,0)</f>
        <v>#N/A</v>
      </c>
      <c r="U12" s="2" t="e">
        <f>VLOOKUP($C12,Score!$B$2:$X$71,19,0)</f>
        <v>#N/A</v>
      </c>
      <c r="V12" s="2" t="e">
        <f>VLOOKUP($C12,Score!$B$2:$X$71,20,0)</f>
        <v>#N/A</v>
      </c>
      <c r="W12" s="2" t="e">
        <f>VLOOKUP($C12,Score!$B$2:$Z$70,21,0)</f>
        <v>#N/A</v>
      </c>
      <c r="X12" s="2" t="e">
        <f>VLOOKUP($C12,Score!$B$2:$Z$70,22,0)</f>
        <v>#N/A</v>
      </c>
      <c r="Y12" s="2" t="e">
        <f>VLOOKUP($C12,Score!$B$2:$Z$70,24,0)</f>
        <v>#N/A</v>
      </c>
      <c r="Z12" s="6" t="e">
        <f t="shared" si="0"/>
        <v>#N/A</v>
      </c>
      <c r="AA12" t="str">
        <f t="shared" si="1"/>
        <v>test9</v>
      </c>
    </row>
    <row r="13" spans="3:27">
      <c r="C13" t="s">
        <v>58</v>
      </c>
      <c r="D13" s="2" t="e">
        <f>VLOOKUP($C13,Score!$B$2:$X$71,2,0)</f>
        <v>#N/A</v>
      </c>
      <c r="E13" s="2" t="e">
        <f>VLOOKUP($C13,Score!$B$2:$X$71,3,0)</f>
        <v>#N/A</v>
      </c>
      <c r="F13" s="2" t="e">
        <f>VLOOKUP($C13,Score!$B$2:$X$71,4,0)</f>
        <v>#N/A</v>
      </c>
      <c r="G13" s="2" t="e">
        <f>VLOOKUP($C13,Score!$B$2:$X$71,5,0)</f>
        <v>#N/A</v>
      </c>
      <c r="H13" s="2" t="e">
        <f>VLOOKUP($C13,Score!$B$2:$X$71,6,0)</f>
        <v>#N/A</v>
      </c>
      <c r="I13" s="2" t="e">
        <f>VLOOKUP($C13,Score!$B$2:$X$71,7,0)</f>
        <v>#N/A</v>
      </c>
      <c r="J13" s="2" t="e">
        <f>VLOOKUP($C13,Score!$B$2:$X$71,8,0)</f>
        <v>#N/A</v>
      </c>
      <c r="K13" s="2" t="e">
        <f>VLOOKUP($C13,Score!$B$2:$X$71,9,0)</f>
        <v>#N/A</v>
      </c>
      <c r="L13" s="2" t="e">
        <f>VLOOKUP($C13,Score!$B$2:$X$71,10,0)</f>
        <v>#N/A</v>
      </c>
      <c r="M13" s="2" t="e">
        <f>VLOOKUP($C13,Score!$B$2:$X$71,11,0)</f>
        <v>#N/A</v>
      </c>
      <c r="N13" s="2" t="e">
        <f>VLOOKUP($C13,Score!$B$2:$X$71,12,0)</f>
        <v>#N/A</v>
      </c>
      <c r="O13" s="2" t="e">
        <f>VLOOKUP($C13,Score!$B$2:$X$71,13,0)</f>
        <v>#N/A</v>
      </c>
      <c r="P13" s="2" t="e">
        <f>VLOOKUP($C13,Score!$B$2:$X$71,14,0)</f>
        <v>#N/A</v>
      </c>
      <c r="Q13" s="2" t="e">
        <f>VLOOKUP($C13,Score!$B$2:$X$71,15,0)</f>
        <v>#N/A</v>
      </c>
      <c r="R13" s="2" t="e">
        <f>VLOOKUP($C13,Score!$B$2:$X$71,16,0)</f>
        <v>#N/A</v>
      </c>
      <c r="S13" s="2" t="e">
        <f>VLOOKUP($C13,Score!$B$2:$X$71,17,0)</f>
        <v>#N/A</v>
      </c>
      <c r="T13" s="2" t="e">
        <f>VLOOKUP($C13,Score!$B$2:$X$71,18,0)</f>
        <v>#N/A</v>
      </c>
      <c r="U13" s="2" t="e">
        <f>VLOOKUP($C13,Score!$B$2:$X$71,19,0)</f>
        <v>#N/A</v>
      </c>
      <c r="V13" s="2" t="e">
        <f>VLOOKUP($C13,Score!$B$2:$X$71,20,0)</f>
        <v>#N/A</v>
      </c>
      <c r="W13" s="2" t="e">
        <f>VLOOKUP($C13,Score!$B$2:$Z$70,21,0)</f>
        <v>#N/A</v>
      </c>
      <c r="X13" s="2" t="e">
        <f>VLOOKUP($C13,Score!$B$2:$Z$70,22,0)</f>
        <v>#N/A</v>
      </c>
      <c r="Y13" s="2" t="e">
        <f>VLOOKUP($C13,Score!$B$2:$Z$70,24,0)</f>
        <v>#N/A</v>
      </c>
      <c r="Z13" s="6" t="e">
        <f t="shared" si="0"/>
        <v>#N/A</v>
      </c>
      <c r="AA13" t="str">
        <f t="shared" si="1"/>
        <v>test10</v>
      </c>
    </row>
    <row r="14" spans="3:27">
      <c r="C14" t="s">
        <v>59</v>
      </c>
      <c r="D14" s="2" t="e">
        <f>VLOOKUP($C14,Score!$B$2:$X$71,2,0)</f>
        <v>#N/A</v>
      </c>
      <c r="E14" s="2" t="e">
        <f>VLOOKUP($C14,Score!$B$2:$X$71,3,0)</f>
        <v>#N/A</v>
      </c>
      <c r="F14" s="2" t="e">
        <f>VLOOKUP($C14,Score!$B$2:$X$71,4,0)</f>
        <v>#N/A</v>
      </c>
      <c r="G14" s="2" t="e">
        <f>VLOOKUP($C14,Score!$B$2:$X$71,5,0)</f>
        <v>#N/A</v>
      </c>
      <c r="H14" s="2" t="e">
        <f>VLOOKUP($C14,Score!$B$2:$X$71,6,0)</f>
        <v>#N/A</v>
      </c>
      <c r="I14" s="2" t="e">
        <f>VLOOKUP($C14,Score!$B$2:$X$71,7,0)</f>
        <v>#N/A</v>
      </c>
      <c r="J14" s="2" t="e">
        <f>VLOOKUP($C14,Score!$B$2:$X$71,8,0)</f>
        <v>#N/A</v>
      </c>
      <c r="K14" s="2" t="e">
        <f>VLOOKUP($C14,Score!$B$2:$X$71,9,0)</f>
        <v>#N/A</v>
      </c>
      <c r="L14" s="2" t="e">
        <f>VLOOKUP($C14,Score!$B$2:$X$71,10,0)</f>
        <v>#N/A</v>
      </c>
      <c r="M14" s="2" t="e">
        <f>VLOOKUP($C14,Score!$B$2:$X$71,11,0)</f>
        <v>#N/A</v>
      </c>
      <c r="N14" s="2" t="e">
        <f>VLOOKUP($C14,Score!$B$2:$X$71,12,0)</f>
        <v>#N/A</v>
      </c>
      <c r="O14" s="2" t="e">
        <f>VLOOKUP($C14,Score!$B$2:$X$71,13,0)</f>
        <v>#N/A</v>
      </c>
      <c r="P14" s="2" t="e">
        <f>VLOOKUP($C14,Score!$B$2:$X$71,14,0)</f>
        <v>#N/A</v>
      </c>
      <c r="Q14" s="2" t="e">
        <f>VLOOKUP($C14,Score!$B$2:$X$71,15,0)</f>
        <v>#N/A</v>
      </c>
      <c r="R14" s="2" t="e">
        <f>VLOOKUP($C14,Score!$B$2:$X$71,16,0)</f>
        <v>#N/A</v>
      </c>
      <c r="S14" s="2" t="e">
        <f>VLOOKUP($C14,Score!$B$2:$X$71,17,0)</f>
        <v>#N/A</v>
      </c>
      <c r="T14" s="2" t="e">
        <f>VLOOKUP($C14,Score!$B$2:$X$71,18,0)</f>
        <v>#N/A</v>
      </c>
      <c r="U14" s="2" t="e">
        <f>VLOOKUP($C14,Score!$B$2:$X$71,19,0)</f>
        <v>#N/A</v>
      </c>
      <c r="V14" s="2" t="e">
        <f>VLOOKUP($C14,Score!$B$2:$X$71,20,0)</f>
        <v>#N/A</v>
      </c>
      <c r="W14" s="2" t="e">
        <f>VLOOKUP($C14,Score!$B$2:$Z$70,21,0)</f>
        <v>#N/A</v>
      </c>
      <c r="X14" s="2" t="e">
        <f>VLOOKUP($C14,Score!$B$2:$Z$70,22,0)</f>
        <v>#N/A</v>
      </c>
      <c r="Y14" s="2" t="e">
        <f>VLOOKUP($C14,Score!$B$2:$Z$70,24,0)</f>
        <v>#N/A</v>
      </c>
      <c r="Z14" s="6" t="e">
        <f t="shared" si="0"/>
        <v>#N/A</v>
      </c>
      <c r="AA14" t="str">
        <f t="shared" si="1"/>
        <v>test11</v>
      </c>
    </row>
    <row r="15" spans="3:27">
      <c r="C15" t="s">
        <v>60</v>
      </c>
      <c r="D15" s="2" t="e">
        <f>VLOOKUP($C15,Score!$B$2:$X$71,2,0)</f>
        <v>#N/A</v>
      </c>
      <c r="E15" s="2" t="e">
        <f>VLOOKUP($C15,Score!$B$2:$X$71,3,0)</f>
        <v>#N/A</v>
      </c>
      <c r="F15" s="2" t="e">
        <f>VLOOKUP($C15,Score!$B$2:$X$71,4,0)</f>
        <v>#N/A</v>
      </c>
      <c r="G15" s="2" t="e">
        <f>VLOOKUP($C15,Score!$B$2:$X$71,5,0)</f>
        <v>#N/A</v>
      </c>
      <c r="H15" s="2" t="e">
        <f>VLOOKUP($C15,Score!$B$2:$X$71,6,0)</f>
        <v>#N/A</v>
      </c>
      <c r="I15" s="2" t="e">
        <f>VLOOKUP($C15,Score!$B$2:$X$71,7,0)</f>
        <v>#N/A</v>
      </c>
      <c r="J15" s="2" t="e">
        <f>VLOOKUP($C15,Score!$B$2:$X$71,8,0)</f>
        <v>#N/A</v>
      </c>
      <c r="K15" s="2" t="e">
        <f>VLOOKUP($C15,Score!$B$2:$X$71,9,0)</f>
        <v>#N/A</v>
      </c>
      <c r="L15" s="2" t="e">
        <f>VLOOKUP($C15,Score!$B$2:$X$71,10,0)</f>
        <v>#N/A</v>
      </c>
      <c r="M15" s="2" t="e">
        <f>VLOOKUP($C15,Score!$B$2:$X$71,11,0)</f>
        <v>#N/A</v>
      </c>
      <c r="N15" s="2" t="e">
        <f>VLOOKUP($C15,Score!$B$2:$X$71,12,0)</f>
        <v>#N/A</v>
      </c>
      <c r="O15" s="2" t="e">
        <f>VLOOKUP($C15,Score!$B$2:$X$71,13,0)</f>
        <v>#N/A</v>
      </c>
      <c r="P15" s="2" t="e">
        <f>VLOOKUP($C15,Score!$B$2:$X$71,14,0)</f>
        <v>#N/A</v>
      </c>
      <c r="Q15" s="2" t="e">
        <f>VLOOKUP($C15,Score!$B$2:$X$71,15,0)</f>
        <v>#N/A</v>
      </c>
      <c r="R15" s="2" t="e">
        <f>VLOOKUP($C15,Score!$B$2:$X$71,16,0)</f>
        <v>#N/A</v>
      </c>
      <c r="S15" s="2" t="e">
        <f>VLOOKUP($C15,Score!$B$2:$X$71,17,0)</f>
        <v>#N/A</v>
      </c>
      <c r="T15" s="2" t="e">
        <f>VLOOKUP($C15,Score!$B$2:$X$71,18,0)</f>
        <v>#N/A</v>
      </c>
      <c r="U15" s="2" t="e">
        <f>VLOOKUP($C15,Score!$B$2:$X$71,19,0)</f>
        <v>#N/A</v>
      </c>
      <c r="V15" s="2" t="e">
        <f>VLOOKUP($C15,Score!$B$2:$X$71,20,0)</f>
        <v>#N/A</v>
      </c>
      <c r="W15" s="2" t="e">
        <f>VLOOKUP($C15,Score!$B$2:$Z$70,21,0)</f>
        <v>#N/A</v>
      </c>
      <c r="X15" s="2" t="e">
        <f>VLOOKUP($C15,Score!$B$2:$Z$70,22,0)</f>
        <v>#N/A</v>
      </c>
      <c r="Y15" s="2" t="e">
        <f>VLOOKUP($C15,Score!$B$2:$Z$70,24,0)</f>
        <v>#N/A</v>
      </c>
      <c r="Z15" s="6" t="e">
        <f t="shared" si="0"/>
        <v>#N/A</v>
      </c>
      <c r="AA15" t="str">
        <f t="shared" si="1"/>
        <v>test12</v>
      </c>
    </row>
    <row r="16" spans="3:27">
      <c r="C16" t="s">
        <v>61</v>
      </c>
      <c r="D16" s="2" t="e">
        <f>VLOOKUP($C16,Score!$B$2:$X$71,2,0)</f>
        <v>#N/A</v>
      </c>
      <c r="E16" s="2" t="e">
        <f>VLOOKUP($C16,Score!$B$2:$X$71,3,0)</f>
        <v>#N/A</v>
      </c>
      <c r="F16" s="2" t="e">
        <f>VLOOKUP($C16,Score!$B$2:$X$71,4,0)</f>
        <v>#N/A</v>
      </c>
      <c r="G16" s="2" t="e">
        <f>VLOOKUP($C16,Score!$B$2:$X$71,5,0)</f>
        <v>#N/A</v>
      </c>
      <c r="H16" s="2" t="e">
        <f>VLOOKUP($C16,Score!$B$2:$X$71,6,0)</f>
        <v>#N/A</v>
      </c>
      <c r="I16" s="2" t="e">
        <f>VLOOKUP($C16,Score!$B$2:$X$71,7,0)</f>
        <v>#N/A</v>
      </c>
      <c r="J16" s="2" t="e">
        <f>VLOOKUP($C16,Score!$B$2:$X$71,8,0)</f>
        <v>#N/A</v>
      </c>
      <c r="K16" s="2" t="e">
        <f>VLOOKUP($C16,Score!$B$2:$X$71,9,0)</f>
        <v>#N/A</v>
      </c>
      <c r="L16" s="2" t="e">
        <f>VLOOKUP($C16,Score!$B$2:$X$71,10,0)</f>
        <v>#N/A</v>
      </c>
      <c r="M16" s="2" t="e">
        <f>VLOOKUP($C16,Score!$B$2:$X$71,11,0)</f>
        <v>#N/A</v>
      </c>
      <c r="N16" s="2" t="e">
        <f>VLOOKUP($C16,Score!$B$2:$X$71,12,0)</f>
        <v>#N/A</v>
      </c>
      <c r="O16" s="2" t="e">
        <f>VLOOKUP($C16,Score!$B$2:$X$71,13,0)</f>
        <v>#N/A</v>
      </c>
      <c r="P16" s="2" t="e">
        <f>VLOOKUP($C16,Score!$B$2:$X$71,14,0)</f>
        <v>#N/A</v>
      </c>
      <c r="Q16" s="2" t="e">
        <f>VLOOKUP($C16,Score!$B$2:$X$71,15,0)</f>
        <v>#N/A</v>
      </c>
      <c r="R16" s="2" t="e">
        <f>VLOOKUP($C16,Score!$B$2:$X$71,16,0)</f>
        <v>#N/A</v>
      </c>
      <c r="S16" s="2" t="e">
        <f>VLOOKUP($C16,Score!$B$2:$X$71,17,0)</f>
        <v>#N/A</v>
      </c>
      <c r="T16" s="2" t="e">
        <f>VLOOKUP($C16,Score!$B$2:$X$71,18,0)</f>
        <v>#N/A</v>
      </c>
      <c r="U16" s="2" t="e">
        <f>VLOOKUP($C16,Score!$B$2:$X$71,19,0)</f>
        <v>#N/A</v>
      </c>
      <c r="V16" s="2" t="e">
        <f>VLOOKUP($C16,Score!$B$2:$X$71,20,0)</f>
        <v>#N/A</v>
      </c>
      <c r="W16" s="2" t="e">
        <f>VLOOKUP($C16,Score!$B$2:$Z$70,21,0)</f>
        <v>#N/A</v>
      </c>
      <c r="X16" s="2" t="e">
        <f>VLOOKUP($C16,Score!$B$2:$Z$70,22,0)</f>
        <v>#N/A</v>
      </c>
      <c r="Y16" s="2" t="e">
        <f>VLOOKUP($C16,Score!$B$2:$Z$70,24,0)</f>
        <v>#N/A</v>
      </c>
      <c r="Z16" s="6" t="e">
        <f t="shared" si="0"/>
        <v>#N/A</v>
      </c>
      <c r="AA16" t="str">
        <f t="shared" si="1"/>
        <v>test13</v>
      </c>
    </row>
    <row r="17" spans="3:27">
      <c r="C17" t="s">
        <v>62</v>
      </c>
      <c r="D17" s="2" t="e">
        <f>VLOOKUP($C17,Score!$B$2:$X$71,2,0)</f>
        <v>#N/A</v>
      </c>
      <c r="E17" s="2" t="e">
        <f>VLOOKUP($C17,Score!$B$2:$X$71,3,0)</f>
        <v>#N/A</v>
      </c>
      <c r="F17" s="2" t="e">
        <f>VLOOKUP($C17,Score!$B$2:$X$71,4,0)</f>
        <v>#N/A</v>
      </c>
      <c r="G17" s="2" t="e">
        <f>VLOOKUP($C17,Score!$B$2:$X$71,5,0)</f>
        <v>#N/A</v>
      </c>
      <c r="H17" s="2" t="e">
        <f>VLOOKUP($C17,Score!$B$2:$X$71,6,0)</f>
        <v>#N/A</v>
      </c>
      <c r="I17" s="2" t="e">
        <f>VLOOKUP($C17,Score!$B$2:$X$71,7,0)</f>
        <v>#N/A</v>
      </c>
      <c r="J17" s="2" t="e">
        <f>VLOOKUP($C17,Score!$B$2:$X$71,8,0)</f>
        <v>#N/A</v>
      </c>
      <c r="K17" s="2" t="e">
        <f>VLOOKUP($C17,Score!$B$2:$X$71,9,0)</f>
        <v>#N/A</v>
      </c>
      <c r="L17" s="2" t="e">
        <f>VLOOKUP($C17,Score!$B$2:$X$71,10,0)</f>
        <v>#N/A</v>
      </c>
      <c r="M17" s="2" t="e">
        <f>VLOOKUP($C17,Score!$B$2:$X$71,11,0)</f>
        <v>#N/A</v>
      </c>
      <c r="N17" s="2" t="e">
        <f>VLOOKUP($C17,Score!$B$2:$X$71,12,0)</f>
        <v>#N/A</v>
      </c>
      <c r="O17" s="2" t="e">
        <f>VLOOKUP($C17,Score!$B$2:$X$71,13,0)</f>
        <v>#N/A</v>
      </c>
      <c r="P17" s="2" t="e">
        <f>VLOOKUP($C17,Score!$B$2:$X$71,14,0)</f>
        <v>#N/A</v>
      </c>
      <c r="Q17" s="2" t="e">
        <f>VLOOKUP($C17,Score!$B$2:$X$71,15,0)</f>
        <v>#N/A</v>
      </c>
      <c r="R17" s="2" t="e">
        <f>VLOOKUP($C17,Score!$B$2:$X$71,16,0)</f>
        <v>#N/A</v>
      </c>
      <c r="S17" s="2" t="e">
        <f>VLOOKUP($C17,Score!$B$2:$X$71,17,0)</f>
        <v>#N/A</v>
      </c>
      <c r="T17" s="2" t="e">
        <f>VLOOKUP($C17,Score!$B$2:$X$71,18,0)</f>
        <v>#N/A</v>
      </c>
      <c r="U17" s="2" t="e">
        <f>VLOOKUP($C17,Score!$B$2:$X$71,19,0)</f>
        <v>#N/A</v>
      </c>
      <c r="V17" s="2" t="e">
        <f>VLOOKUP($C17,Score!$B$2:$X$71,20,0)</f>
        <v>#N/A</v>
      </c>
      <c r="W17" s="2" t="e">
        <f>VLOOKUP($C17,Score!$B$2:$Z$70,21,0)</f>
        <v>#N/A</v>
      </c>
      <c r="X17" s="2" t="e">
        <f>VLOOKUP($C17,Score!$B$2:$Z$70,22,0)</f>
        <v>#N/A</v>
      </c>
      <c r="Y17" s="2" t="e">
        <f>VLOOKUP($C17,Score!$B$2:$Z$70,24,0)</f>
        <v>#N/A</v>
      </c>
      <c r="Z17" s="6" t="e">
        <f t="shared" si="0"/>
        <v>#N/A</v>
      </c>
      <c r="AA17" t="str">
        <f t="shared" si="1"/>
        <v>test14</v>
      </c>
    </row>
    <row r="18" spans="3:27">
      <c r="C18" t="s">
        <v>63</v>
      </c>
      <c r="D18" s="2" t="e">
        <f>VLOOKUP($C18,Score!$B$2:$X$71,2,0)</f>
        <v>#N/A</v>
      </c>
      <c r="E18" s="2" t="e">
        <f>VLOOKUP($C18,Score!$B$2:$X$71,3,0)</f>
        <v>#N/A</v>
      </c>
      <c r="F18" s="2" t="e">
        <f>VLOOKUP($C18,Score!$B$2:$X$71,4,0)</f>
        <v>#N/A</v>
      </c>
      <c r="G18" s="2" t="e">
        <f>VLOOKUP($C18,Score!$B$2:$X$71,5,0)</f>
        <v>#N/A</v>
      </c>
      <c r="H18" s="2" t="e">
        <f>VLOOKUP($C18,Score!$B$2:$X$71,6,0)</f>
        <v>#N/A</v>
      </c>
      <c r="I18" s="2" t="e">
        <f>VLOOKUP($C18,Score!$B$2:$X$71,7,0)</f>
        <v>#N/A</v>
      </c>
      <c r="J18" s="2" t="e">
        <f>VLOOKUP($C18,Score!$B$2:$X$71,8,0)</f>
        <v>#N/A</v>
      </c>
      <c r="K18" s="2" t="e">
        <f>VLOOKUP($C18,Score!$B$2:$X$71,9,0)</f>
        <v>#N/A</v>
      </c>
      <c r="L18" s="2" t="e">
        <f>VLOOKUP($C18,Score!$B$2:$X$71,10,0)</f>
        <v>#N/A</v>
      </c>
      <c r="M18" s="2" t="e">
        <f>VLOOKUP($C18,Score!$B$2:$X$71,11,0)</f>
        <v>#N/A</v>
      </c>
      <c r="N18" s="2" t="e">
        <f>VLOOKUP($C18,Score!$B$2:$X$71,12,0)</f>
        <v>#N/A</v>
      </c>
      <c r="O18" s="2" t="e">
        <f>VLOOKUP($C18,Score!$B$2:$X$71,13,0)</f>
        <v>#N/A</v>
      </c>
      <c r="P18" s="2" t="e">
        <f>VLOOKUP($C18,Score!$B$2:$X$71,14,0)</f>
        <v>#N/A</v>
      </c>
      <c r="Q18" s="2" t="e">
        <f>VLOOKUP($C18,Score!$B$2:$X$71,15,0)</f>
        <v>#N/A</v>
      </c>
      <c r="R18" s="2" t="e">
        <f>VLOOKUP($C18,Score!$B$2:$X$71,16,0)</f>
        <v>#N/A</v>
      </c>
      <c r="S18" s="2" t="e">
        <f>VLOOKUP($C18,Score!$B$2:$X$71,17,0)</f>
        <v>#N/A</v>
      </c>
      <c r="T18" s="2" t="e">
        <f>VLOOKUP($C18,Score!$B$2:$X$71,18,0)</f>
        <v>#N/A</v>
      </c>
      <c r="U18" s="2" t="e">
        <f>VLOOKUP($C18,Score!$B$2:$X$71,19,0)</f>
        <v>#N/A</v>
      </c>
      <c r="V18" s="2" t="e">
        <f>VLOOKUP($C18,Score!$B$2:$X$71,20,0)</f>
        <v>#N/A</v>
      </c>
      <c r="W18" s="2" t="e">
        <f>VLOOKUP($C18,Score!$B$2:$Z$70,21,0)</f>
        <v>#N/A</v>
      </c>
      <c r="X18" s="2" t="e">
        <f>VLOOKUP($C18,Score!$B$2:$Z$70,22,0)</f>
        <v>#N/A</v>
      </c>
      <c r="Y18" s="2" t="e">
        <f>VLOOKUP($C18,Score!$B$2:$Z$70,24,0)</f>
        <v>#N/A</v>
      </c>
      <c r="Z18" s="6" t="e">
        <f t="shared" si="0"/>
        <v>#N/A</v>
      </c>
      <c r="AA18" t="str">
        <f t="shared" si="1"/>
        <v>test15</v>
      </c>
    </row>
    <row r="19" spans="3:27">
      <c r="C19" t="s">
        <v>64</v>
      </c>
      <c r="D19" s="2" t="e">
        <f>VLOOKUP($C19,Score!$B$2:$X$71,2,0)</f>
        <v>#N/A</v>
      </c>
      <c r="E19" s="2" t="e">
        <f>VLOOKUP($C19,Score!$B$2:$X$71,3,0)</f>
        <v>#N/A</v>
      </c>
      <c r="F19" s="2" t="e">
        <f>VLOOKUP($C19,Score!$B$2:$X$71,4,0)</f>
        <v>#N/A</v>
      </c>
      <c r="G19" s="2" t="e">
        <f>VLOOKUP($C19,Score!$B$2:$X$71,5,0)</f>
        <v>#N/A</v>
      </c>
      <c r="H19" s="2" t="e">
        <f>VLOOKUP($C19,Score!$B$2:$X$71,6,0)</f>
        <v>#N/A</v>
      </c>
      <c r="I19" s="2" t="e">
        <f>VLOOKUP($C19,Score!$B$2:$X$71,7,0)</f>
        <v>#N/A</v>
      </c>
      <c r="J19" s="2" t="e">
        <f>VLOOKUP($C19,Score!$B$2:$X$71,8,0)</f>
        <v>#N/A</v>
      </c>
      <c r="K19" s="2" t="e">
        <f>VLOOKUP($C19,Score!$B$2:$X$71,9,0)</f>
        <v>#N/A</v>
      </c>
      <c r="L19" s="2" t="e">
        <f>VLOOKUP($C19,Score!$B$2:$X$71,10,0)</f>
        <v>#N/A</v>
      </c>
      <c r="M19" s="2" t="e">
        <f>VLOOKUP($C19,Score!$B$2:$X$71,11,0)</f>
        <v>#N/A</v>
      </c>
      <c r="N19" s="2" t="e">
        <f>VLOOKUP($C19,Score!$B$2:$X$71,12,0)</f>
        <v>#N/A</v>
      </c>
      <c r="O19" s="2" t="e">
        <f>VLOOKUP($C19,Score!$B$2:$X$71,13,0)</f>
        <v>#N/A</v>
      </c>
      <c r="P19" s="2" t="e">
        <f>VLOOKUP($C19,Score!$B$2:$X$71,14,0)</f>
        <v>#N/A</v>
      </c>
      <c r="Q19" s="2" t="e">
        <f>VLOOKUP($C19,Score!$B$2:$X$71,15,0)</f>
        <v>#N/A</v>
      </c>
      <c r="R19" s="2" t="e">
        <f>VLOOKUP($C19,Score!$B$2:$X$71,16,0)</f>
        <v>#N/A</v>
      </c>
      <c r="S19" s="2" t="e">
        <f>VLOOKUP($C19,Score!$B$2:$X$71,17,0)</f>
        <v>#N/A</v>
      </c>
      <c r="T19" s="2" t="e">
        <f>VLOOKUP($C19,Score!$B$2:$X$71,18,0)</f>
        <v>#N/A</v>
      </c>
      <c r="U19" s="2" t="e">
        <f>VLOOKUP($C19,Score!$B$2:$X$71,19,0)</f>
        <v>#N/A</v>
      </c>
      <c r="V19" s="2" t="e">
        <f>VLOOKUP($C19,Score!$B$2:$X$71,20,0)</f>
        <v>#N/A</v>
      </c>
      <c r="W19" s="2" t="e">
        <f>VLOOKUP($C19,Score!$B$2:$Z$70,21,0)</f>
        <v>#N/A</v>
      </c>
      <c r="X19" s="2" t="e">
        <f>VLOOKUP($C19,Score!$B$2:$Z$70,22,0)</f>
        <v>#N/A</v>
      </c>
      <c r="Y19" s="2" t="e">
        <f>VLOOKUP($C19,Score!$B$2:$Z$70,24,0)</f>
        <v>#N/A</v>
      </c>
      <c r="Z19" s="6" t="e">
        <f t="shared" si="0"/>
        <v>#N/A</v>
      </c>
      <c r="AA19" t="str">
        <f t="shared" si="1"/>
        <v>test16</v>
      </c>
    </row>
    <row r="20" spans="3:27">
      <c r="C20" t="s">
        <v>65</v>
      </c>
      <c r="D20" s="2" t="e">
        <f>VLOOKUP($C20,Score!$B$2:$X$71,2,0)</f>
        <v>#N/A</v>
      </c>
      <c r="E20" s="2" t="e">
        <f>VLOOKUP($C20,Score!$B$2:$X$71,3,0)</f>
        <v>#N/A</v>
      </c>
      <c r="F20" s="2" t="e">
        <f>VLOOKUP($C20,Score!$B$2:$X$71,4,0)</f>
        <v>#N/A</v>
      </c>
      <c r="G20" s="2" t="e">
        <f>VLOOKUP($C20,Score!$B$2:$X$71,5,0)</f>
        <v>#N/A</v>
      </c>
      <c r="H20" s="2" t="e">
        <f>VLOOKUP($C20,Score!$B$2:$X$71,6,0)</f>
        <v>#N/A</v>
      </c>
      <c r="I20" s="2" t="e">
        <f>VLOOKUP($C20,Score!$B$2:$X$71,7,0)</f>
        <v>#N/A</v>
      </c>
      <c r="J20" s="2" t="e">
        <f>VLOOKUP($C20,Score!$B$2:$X$71,8,0)</f>
        <v>#N/A</v>
      </c>
      <c r="K20" s="2" t="e">
        <f>VLOOKUP($C20,Score!$B$2:$X$71,9,0)</f>
        <v>#N/A</v>
      </c>
      <c r="L20" s="2" t="e">
        <f>VLOOKUP($C20,Score!$B$2:$X$71,10,0)</f>
        <v>#N/A</v>
      </c>
      <c r="M20" s="2" t="e">
        <f>VLOOKUP($C20,Score!$B$2:$X$71,11,0)</f>
        <v>#N/A</v>
      </c>
      <c r="N20" s="2" t="e">
        <f>VLOOKUP($C20,Score!$B$2:$X$71,12,0)</f>
        <v>#N/A</v>
      </c>
      <c r="O20" s="2" t="e">
        <f>VLOOKUP($C20,Score!$B$2:$X$71,13,0)</f>
        <v>#N/A</v>
      </c>
      <c r="P20" s="2" t="e">
        <f>VLOOKUP($C20,Score!$B$2:$X$71,14,0)</f>
        <v>#N/A</v>
      </c>
      <c r="Q20" s="2" t="e">
        <f>VLOOKUP($C20,Score!$B$2:$X$71,15,0)</f>
        <v>#N/A</v>
      </c>
      <c r="R20" s="2" t="e">
        <f>VLOOKUP($C20,Score!$B$2:$X$71,16,0)</f>
        <v>#N/A</v>
      </c>
      <c r="S20" s="2" t="e">
        <f>VLOOKUP($C20,Score!$B$2:$X$71,17,0)</f>
        <v>#N/A</v>
      </c>
      <c r="T20" s="2" t="e">
        <f>VLOOKUP($C20,Score!$B$2:$X$71,18,0)</f>
        <v>#N/A</v>
      </c>
      <c r="U20" s="2" t="e">
        <f>VLOOKUP($C20,Score!$B$2:$X$71,19,0)</f>
        <v>#N/A</v>
      </c>
      <c r="V20" s="2" t="e">
        <f>VLOOKUP($C20,Score!$B$2:$X$71,20,0)</f>
        <v>#N/A</v>
      </c>
      <c r="W20" s="2" t="e">
        <f>VLOOKUP($C20,Score!$B$2:$Z$70,21,0)</f>
        <v>#N/A</v>
      </c>
      <c r="X20" s="2" t="e">
        <f>VLOOKUP($C20,Score!$B$2:$Z$70,22,0)</f>
        <v>#N/A</v>
      </c>
      <c r="Y20" s="2" t="e">
        <f>VLOOKUP($C20,Score!$B$2:$Z$70,24,0)</f>
        <v>#N/A</v>
      </c>
      <c r="Z20" s="6" t="e">
        <f>SUM(D20:Y20)</f>
        <v>#N/A</v>
      </c>
      <c r="AA20" t="str">
        <f t="shared" si="1"/>
        <v>test17</v>
      </c>
    </row>
    <row r="21" spans="3:27" s="96" customFormat="1">
      <c r="C21" s="96" t="s">
        <v>21</v>
      </c>
      <c r="D21" s="97"/>
      <c r="E21" s="98"/>
      <c r="F21" s="97"/>
      <c r="G21" s="97"/>
      <c r="H21" s="97"/>
      <c r="I21" s="97"/>
      <c r="J21" s="97"/>
      <c r="K21" s="97"/>
      <c r="L21" s="97"/>
      <c r="M21" s="97"/>
      <c r="N21" s="97"/>
      <c r="O21" s="97"/>
      <c r="P21" s="97"/>
      <c r="Q21" s="97"/>
      <c r="R21" s="97"/>
      <c r="S21" s="97"/>
      <c r="T21" s="97"/>
      <c r="U21" s="97"/>
      <c r="V21" s="97"/>
      <c r="W21" s="97"/>
      <c r="X21" s="97"/>
      <c r="Y21" s="97"/>
      <c r="Z21" s="101"/>
    </row>
    <row r="22" spans="3:27" s="1" customFormat="1">
      <c r="C22"/>
      <c r="D22" s="94" t="e">
        <f t="shared" ref="D22:Y22" si="2">SUM(D4:D21)</f>
        <v>#N/A</v>
      </c>
      <c r="E22" s="94" t="e">
        <f t="shared" si="2"/>
        <v>#N/A</v>
      </c>
      <c r="F22" s="94" t="e">
        <f t="shared" si="2"/>
        <v>#N/A</v>
      </c>
      <c r="G22" s="94" t="e">
        <f t="shared" si="2"/>
        <v>#N/A</v>
      </c>
      <c r="H22" s="94" t="e">
        <f t="shared" si="2"/>
        <v>#N/A</v>
      </c>
      <c r="I22" s="94" t="e">
        <f t="shared" si="2"/>
        <v>#N/A</v>
      </c>
      <c r="J22" s="94" t="e">
        <f t="shared" si="2"/>
        <v>#N/A</v>
      </c>
      <c r="K22" s="94" t="e">
        <f t="shared" si="2"/>
        <v>#N/A</v>
      </c>
      <c r="L22" s="94" t="e">
        <f t="shared" si="2"/>
        <v>#N/A</v>
      </c>
      <c r="M22" s="94" t="e">
        <f t="shared" si="2"/>
        <v>#N/A</v>
      </c>
      <c r="N22" s="94" t="e">
        <f t="shared" si="2"/>
        <v>#N/A</v>
      </c>
      <c r="O22" s="94" t="e">
        <f t="shared" si="2"/>
        <v>#N/A</v>
      </c>
      <c r="P22" s="94" t="e">
        <f t="shared" si="2"/>
        <v>#N/A</v>
      </c>
      <c r="Q22" s="94" t="e">
        <f t="shared" si="2"/>
        <v>#N/A</v>
      </c>
      <c r="R22" s="94" t="e">
        <f t="shared" si="2"/>
        <v>#N/A</v>
      </c>
      <c r="S22" s="94" t="e">
        <f t="shared" si="2"/>
        <v>#N/A</v>
      </c>
      <c r="T22" s="94" t="e">
        <f t="shared" si="2"/>
        <v>#N/A</v>
      </c>
      <c r="U22" s="94" t="e">
        <f t="shared" si="2"/>
        <v>#N/A</v>
      </c>
      <c r="V22" s="94" t="e">
        <f t="shared" si="2"/>
        <v>#N/A</v>
      </c>
      <c r="W22" s="94" t="e">
        <f t="shared" si="2"/>
        <v>#N/A</v>
      </c>
      <c r="X22" s="94" t="e">
        <f t="shared" si="2"/>
        <v>#N/A</v>
      </c>
      <c r="Y22" s="94" t="e">
        <f t="shared" si="2"/>
        <v>#N/A</v>
      </c>
      <c r="Z22" s="95" t="e">
        <f>SUM(Z4:Z21)</f>
        <v>#N/A</v>
      </c>
    </row>
    <row r="23" spans="3:27" s="70" customFormat="1">
      <c r="C23"/>
      <c r="D23" s="71"/>
      <c r="E23" s="71"/>
      <c r="F23" s="65"/>
      <c r="G23" s="71"/>
      <c r="H23" s="71"/>
      <c r="I23" s="71"/>
      <c r="J23" s="71"/>
      <c r="K23" s="71"/>
      <c r="L23" s="71"/>
      <c r="M23" s="71"/>
      <c r="N23" s="71"/>
      <c r="O23" s="71"/>
      <c r="P23" s="71"/>
      <c r="Q23" s="71"/>
      <c r="R23" s="71"/>
      <c r="S23" s="71"/>
      <c r="T23" s="71"/>
      <c r="U23" s="71"/>
      <c r="V23" s="71"/>
      <c r="W23" s="71"/>
      <c r="X23" s="71"/>
      <c r="Y23" s="71"/>
      <c r="Z23" s="80"/>
    </row>
    <row r="24" spans="3:27" s="83" customFormat="1">
      <c r="C24" s="81"/>
      <c r="D24" s="82" t="e">
        <f>VLOOKUP($C24,Score!$B$2:$X$71,2,0)</f>
        <v>#N/A</v>
      </c>
      <c r="E24" s="82" t="e">
        <f>VLOOKUP($C24,Score!$B$2:$X$71,2,0)</f>
        <v>#N/A</v>
      </c>
      <c r="F24" s="82" t="e">
        <f>VLOOKUP($C24,Score!$B$2:$X$71,2,0)</f>
        <v>#N/A</v>
      </c>
      <c r="G24" s="82" t="e">
        <f>VLOOKUP($C24,Score!$B$2:$X$71,2,0)</f>
        <v>#N/A</v>
      </c>
      <c r="H24" s="82" t="e">
        <f>VLOOKUP($C24,Score!$B$2:$X$71,2,0)</f>
        <v>#N/A</v>
      </c>
      <c r="I24" s="82" t="e">
        <f>VLOOKUP($C24,Score!$B$2:$X$71,2,0)</f>
        <v>#N/A</v>
      </c>
      <c r="J24" s="82" t="e">
        <f>VLOOKUP($C24,Score!$B$2:$X$71,2,0)</f>
        <v>#N/A</v>
      </c>
      <c r="K24" s="82" t="e">
        <f>VLOOKUP($C24,Score!$B$2:$X$71,2,0)</f>
        <v>#N/A</v>
      </c>
      <c r="L24" s="82" t="e">
        <f>VLOOKUP($C24,Score!$B$2:$X$71,2,0)</f>
        <v>#N/A</v>
      </c>
      <c r="M24" s="82" t="e">
        <f>VLOOKUP($C24,Score!$B$2:$X$71,2,0)</f>
        <v>#N/A</v>
      </c>
      <c r="N24" s="82" t="e">
        <f>VLOOKUP($C24,Score!$B$2:$X$71,2,0)</f>
        <v>#N/A</v>
      </c>
      <c r="O24" s="82" t="e">
        <f>VLOOKUP($C24,Score!$B$2:$X$71,2,0)</f>
        <v>#N/A</v>
      </c>
      <c r="P24" s="82" t="e">
        <f>VLOOKUP($C24,Score!$B$2:$X$71,2,0)</f>
        <v>#N/A</v>
      </c>
      <c r="Q24" s="82" t="e">
        <f>VLOOKUP($C24,Score!$B$2:$X$71,2,0)</f>
        <v>#N/A</v>
      </c>
      <c r="R24" s="82" t="e">
        <f>VLOOKUP($C24,Score!$B$2:$X$71,2,0)</f>
        <v>#N/A</v>
      </c>
      <c r="S24" s="82" t="e">
        <f>VLOOKUP($C24,Score!$B$2:$X$71,2,0)</f>
        <v>#N/A</v>
      </c>
      <c r="T24" s="82" t="e">
        <f>VLOOKUP($C24,Score!$B$2:$X$71,2,0)</f>
        <v>#N/A</v>
      </c>
      <c r="U24" s="82" t="e">
        <f>VLOOKUP($C24,Score!$B$2:$X$71,2,0)</f>
        <v>#N/A</v>
      </c>
      <c r="V24" s="82" t="e">
        <f>VLOOKUP($C24,Score!$B$2:$X$71,2,0)</f>
        <v>#N/A</v>
      </c>
      <c r="W24" s="82" t="e">
        <f>VLOOKUP($C24,Score!$B$2:$X$71,2,0)</f>
        <v>#N/A</v>
      </c>
      <c r="X24" s="82" t="e">
        <f>VLOOKUP($C24,Score!$B$2:$X$71,2,0)</f>
        <v>#N/A</v>
      </c>
      <c r="Y24" s="82" t="e">
        <f>VLOOKUP($C24,Score!$B$2:$X$71,2,0)</f>
        <v>#N/A</v>
      </c>
      <c r="Z24" s="82" t="e">
        <f>VLOOKUP($C24,Score!$B$2:$X$71,2,0)</f>
        <v>#N/A</v>
      </c>
    </row>
    <row r="25" spans="3:27" s="83" customFormat="1">
      <c r="C25" s="81"/>
      <c r="D25" s="82" t="e">
        <f>VLOOKUP($C25,Score!$B$2:$X$71,2,0)</f>
        <v>#N/A</v>
      </c>
      <c r="E25" s="82" t="e">
        <f>VLOOKUP($C25,Score!$B$2:$X$71,2,0)</f>
        <v>#N/A</v>
      </c>
      <c r="F25" s="82" t="e">
        <f>VLOOKUP($C25,Score!$B$2:$X$71,2,0)</f>
        <v>#N/A</v>
      </c>
      <c r="G25" s="82" t="e">
        <f>VLOOKUP($C25,Score!$B$2:$X$71,2,0)</f>
        <v>#N/A</v>
      </c>
      <c r="H25" s="82" t="e">
        <f>VLOOKUP($C25,Score!$B$2:$X$71,2,0)</f>
        <v>#N/A</v>
      </c>
      <c r="I25" s="82" t="e">
        <f>VLOOKUP($C25,Score!$B$2:$X$71,2,0)</f>
        <v>#N/A</v>
      </c>
      <c r="J25" s="82" t="e">
        <f>VLOOKUP($C25,Score!$B$2:$X$71,2,0)</f>
        <v>#N/A</v>
      </c>
      <c r="K25" s="82" t="e">
        <f>VLOOKUP($C25,Score!$B$2:$X$71,2,0)</f>
        <v>#N/A</v>
      </c>
      <c r="L25" s="82" t="e">
        <f>VLOOKUP($C25,Score!$B$2:$X$71,2,0)</f>
        <v>#N/A</v>
      </c>
      <c r="M25" s="82" t="e">
        <f>VLOOKUP($C25,Score!$B$2:$X$71,2,0)</f>
        <v>#N/A</v>
      </c>
      <c r="N25" s="82" t="e">
        <f>VLOOKUP($C25,Score!$B$2:$X$71,2,0)</f>
        <v>#N/A</v>
      </c>
      <c r="O25" s="82" t="e">
        <f>VLOOKUP($C25,Score!$B$2:$X$71,2,0)</f>
        <v>#N/A</v>
      </c>
      <c r="P25" s="82" t="e">
        <f>VLOOKUP($C25,Score!$B$2:$X$71,2,0)</f>
        <v>#N/A</v>
      </c>
      <c r="Q25" s="82" t="e">
        <f>VLOOKUP($C25,Score!$B$2:$X$71,2,0)</f>
        <v>#N/A</v>
      </c>
      <c r="R25" s="82" t="e">
        <f>VLOOKUP($C25,Score!$B$2:$X$71,2,0)</f>
        <v>#N/A</v>
      </c>
      <c r="S25" s="82" t="e">
        <f>VLOOKUP($C25,Score!$B$2:$X$71,2,0)</f>
        <v>#N/A</v>
      </c>
      <c r="T25" s="82" t="e">
        <f>VLOOKUP($C25,Score!$B$2:$X$71,2,0)</f>
        <v>#N/A</v>
      </c>
      <c r="U25" s="82" t="e">
        <f>VLOOKUP($C25,Score!$B$2:$X$71,2,0)</f>
        <v>#N/A</v>
      </c>
      <c r="V25" s="82" t="e">
        <f>VLOOKUP($C25,Score!$B$2:$X$71,2,0)</f>
        <v>#N/A</v>
      </c>
      <c r="W25" s="82" t="e">
        <f>VLOOKUP($C25,Score!$B$2:$X$71,2,0)</f>
        <v>#N/A</v>
      </c>
      <c r="X25" s="82" t="e">
        <f>VLOOKUP($C25,Score!$B$2:$X$71,2,0)</f>
        <v>#N/A</v>
      </c>
      <c r="Y25" s="82" t="e">
        <f>VLOOKUP($C25,Score!$B$2:$X$71,2,0)</f>
        <v>#N/A</v>
      </c>
      <c r="Z25" s="82" t="e">
        <f>VLOOKUP($C25,Score!$B$2:$X$71,2,0)</f>
        <v>#N/A</v>
      </c>
    </row>
    <row r="26" spans="3:27" s="83" customFormat="1">
      <c r="C26" s="81"/>
      <c r="D26" s="82" t="e">
        <f>VLOOKUP($C26,Score!$B$2:$X$71,2,0)</f>
        <v>#N/A</v>
      </c>
      <c r="E26" s="82" t="e">
        <f>VLOOKUP($C26,Score!$B$2:$X$71,2,0)</f>
        <v>#N/A</v>
      </c>
      <c r="F26" s="82" t="e">
        <f>VLOOKUP($C26,Score!$B$2:$X$71,2,0)</f>
        <v>#N/A</v>
      </c>
      <c r="G26" s="82" t="e">
        <f>VLOOKUP($C26,Score!$B$2:$X$71,2,0)</f>
        <v>#N/A</v>
      </c>
      <c r="H26" s="82" t="e">
        <f>VLOOKUP($C26,Score!$B$2:$X$71,2,0)</f>
        <v>#N/A</v>
      </c>
      <c r="I26" s="82" t="e">
        <f>VLOOKUP($C26,Score!$B$2:$X$71,2,0)</f>
        <v>#N/A</v>
      </c>
      <c r="J26" s="82" t="e">
        <f>VLOOKUP($C26,Score!$B$2:$X$71,2,0)</f>
        <v>#N/A</v>
      </c>
      <c r="K26" s="82" t="e">
        <f>VLOOKUP($C26,Score!$B$2:$X$71,2,0)</f>
        <v>#N/A</v>
      </c>
      <c r="L26" s="82" t="e">
        <f>VLOOKUP($C26,Score!$B$2:$X$71,2,0)</f>
        <v>#N/A</v>
      </c>
      <c r="M26" s="82" t="e">
        <f>VLOOKUP($C26,Score!$B$2:$X$71,2,0)</f>
        <v>#N/A</v>
      </c>
      <c r="N26" s="82" t="e">
        <f>VLOOKUP($C26,Score!$B$2:$X$71,2,0)</f>
        <v>#N/A</v>
      </c>
      <c r="O26" s="82" t="e">
        <f>VLOOKUP($C26,Score!$B$2:$X$71,2,0)</f>
        <v>#N/A</v>
      </c>
      <c r="P26" s="82" t="e">
        <f>VLOOKUP($C26,Score!$B$2:$X$71,2,0)</f>
        <v>#N/A</v>
      </c>
      <c r="Q26" s="82" t="e">
        <f>VLOOKUP($C26,Score!$B$2:$X$71,2,0)</f>
        <v>#N/A</v>
      </c>
      <c r="R26" s="82" t="e">
        <f>VLOOKUP($C26,Score!$B$2:$X$71,2,0)</f>
        <v>#N/A</v>
      </c>
      <c r="S26" s="82" t="e">
        <f>VLOOKUP($C26,Score!$B$2:$X$71,2,0)</f>
        <v>#N/A</v>
      </c>
      <c r="T26" s="82" t="e">
        <f>VLOOKUP($C26,Score!$B$2:$X$71,2,0)</f>
        <v>#N/A</v>
      </c>
      <c r="U26" s="82" t="e">
        <f>VLOOKUP($C26,Score!$B$2:$X$71,2,0)</f>
        <v>#N/A</v>
      </c>
      <c r="V26" s="82" t="e">
        <f>VLOOKUP($C26,Score!$B$2:$X$71,2,0)</f>
        <v>#N/A</v>
      </c>
      <c r="W26" s="82" t="e">
        <f>VLOOKUP($C26,Score!$B$2:$X$71,2,0)</f>
        <v>#N/A</v>
      </c>
      <c r="X26" s="82" t="e">
        <f>VLOOKUP($C26,Score!$B$2:$X$71,2,0)</f>
        <v>#N/A</v>
      </c>
      <c r="Y26" s="82" t="e">
        <f>VLOOKUP($C26,Score!$B$2:$X$71,2,0)</f>
        <v>#N/A</v>
      </c>
      <c r="Z26" s="82" t="e">
        <f>VLOOKUP($C26,Score!$B$2:$X$71,2,0)</f>
        <v>#N/A</v>
      </c>
    </row>
    <row r="27" spans="3:27" s="59" customFormat="1">
      <c r="D27" s="58"/>
      <c r="E27" s="58"/>
      <c r="F27" s="57"/>
      <c r="G27" s="58"/>
      <c r="H27" s="58"/>
      <c r="I27" s="58"/>
      <c r="J27" s="58"/>
      <c r="K27" s="58"/>
      <c r="L27" s="58"/>
      <c r="M27" s="58"/>
      <c r="N27" s="58"/>
      <c r="Z27" s="60"/>
    </row>
    <row r="28" spans="3:27" s="59" customFormat="1">
      <c r="C28" s="77"/>
      <c r="D28" s="58"/>
      <c r="E28" s="58"/>
      <c r="F28" s="57"/>
      <c r="G28" s="58"/>
      <c r="H28" s="58"/>
      <c r="I28" s="58"/>
      <c r="J28" s="58"/>
      <c r="K28" s="58"/>
      <c r="L28" s="58"/>
      <c r="M28" s="58"/>
      <c r="N28" s="58"/>
      <c r="Z28" s="60"/>
    </row>
    <row r="29" spans="3:27" s="59" customFormat="1">
      <c r="C29" s="61"/>
      <c r="D29" s="58"/>
      <c r="E29" s="58"/>
      <c r="F29" s="57"/>
      <c r="G29" s="58"/>
      <c r="H29" s="58"/>
      <c r="I29" s="58"/>
      <c r="J29" s="58"/>
      <c r="K29" s="58"/>
      <c r="L29" s="58"/>
      <c r="M29" s="58"/>
      <c r="N29" s="58"/>
      <c r="Z29" s="60"/>
    </row>
    <row r="30" spans="3:27" s="59" customFormat="1">
      <c r="C30" s="61"/>
      <c r="D30" s="58"/>
      <c r="E30" s="58"/>
      <c r="F30" s="57"/>
      <c r="G30" s="58"/>
      <c r="H30" s="58"/>
      <c r="I30" s="58"/>
      <c r="J30" s="58"/>
      <c r="K30" s="58"/>
      <c r="L30" s="58"/>
      <c r="M30" s="58"/>
      <c r="N30" s="58"/>
      <c r="Z30" s="60"/>
    </row>
    <row r="31" spans="3:27" s="59" customFormat="1">
      <c r="D31" s="58"/>
      <c r="E31" s="58"/>
      <c r="F31" s="57"/>
      <c r="G31" s="58"/>
      <c r="H31" s="58"/>
      <c r="I31" s="58"/>
      <c r="J31" s="58"/>
      <c r="K31" s="58"/>
      <c r="L31" s="58"/>
      <c r="M31" s="58"/>
      <c r="N31" s="58"/>
      <c r="Z31" s="60"/>
    </row>
    <row r="32" spans="3:27" s="18" customFormat="1">
      <c r="C32" s="38"/>
      <c r="D32" s="14"/>
      <c r="E32" s="14"/>
      <c r="F32" s="15"/>
      <c r="G32" s="16"/>
      <c r="H32" s="16"/>
      <c r="I32" s="16"/>
      <c r="J32" s="16"/>
      <c r="K32" s="16"/>
      <c r="L32" s="16"/>
      <c r="M32" s="16"/>
      <c r="N32" s="16"/>
      <c r="O32" s="17"/>
      <c r="Z32" s="19"/>
    </row>
    <row r="33" spans="3:26" s="18" customFormat="1">
      <c r="C33" s="38"/>
      <c r="D33" s="14"/>
      <c r="E33" s="14"/>
      <c r="F33" s="15"/>
      <c r="G33" s="16"/>
      <c r="H33" s="16"/>
      <c r="I33" s="16"/>
      <c r="J33" s="16"/>
      <c r="K33" s="16"/>
      <c r="L33" s="16"/>
      <c r="M33" s="16"/>
      <c r="N33" s="16"/>
      <c r="O33" s="17"/>
      <c r="Z33" s="19"/>
    </row>
    <row r="34" spans="3:26" s="18" customFormat="1">
      <c r="C34" s="38"/>
      <c r="D34" s="14"/>
      <c r="E34" s="14"/>
      <c r="F34" s="15"/>
      <c r="G34" s="16"/>
      <c r="H34" s="16"/>
      <c r="I34" s="16"/>
      <c r="J34" s="16"/>
      <c r="K34" s="16"/>
      <c r="L34" s="16"/>
      <c r="M34" s="16"/>
      <c r="N34" s="16"/>
      <c r="O34" s="17"/>
      <c r="Z34" s="19"/>
    </row>
    <row r="35" spans="3:26" s="18" customFormat="1">
      <c r="C35" s="38"/>
      <c r="D35" s="14"/>
      <c r="E35" s="14"/>
      <c r="F35" s="15"/>
      <c r="G35" s="16"/>
      <c r="H35" s="16"/>
      <c r="I35" s="16"/>
      <c r="J35" s="16"/>
      <c r="K35" s="16"/>
      <c r="L35" s="16"/>
      <c r="M35" s="16"/>
      <c r="N35" s="16"/>
      <c r="O35" s="17"/>
      <c r="Z35" s="19"/>
    </row>
    <row r="36" spans="3:26" s="18" customFormat="1">
      <c r="C36" s="38"/>
      <c r="D36" s="14"/>
      <c r="E36" s="14"/>
      <c r="F36" s="15"/>
      <c r="G36" s="16"/>
      <c r="H36" s="16"/>
      <c r="I36" s="16"/>
      <c r="J36" s="16"/>
      <c r="K36" s="16"/>
      <c r="L36" s="16"/>
      <c r="M36" s="16"/>
      <c r="N36" s="16"/>
      <c r="O36" s="17"/>
      <c r="Z36" s="19"/>
    </row>
    <row r="37" spans="3:26" s="18" customFormat="1">
      <c r="C37" s="38"/>
      <c r="D37" s="14"/>
      <c r="E37" s="14"/>
      <c r="F37" s="15"/>
      <c r="G37" s="16"/>
      <c r="H37" s="16"/>
      <c r="I37" s="16"/>
      <c r="J37" s="16"/>
      <c r="K37" s="16"/>
      <c r="L37" s="16"/>
      <c r="M37" s="16"/>
      <c r="N37" s="16"/>
      <c r="O37" s="17"/>
      <c r="Z37" s="19"/>
    </row>
    <row r="38" spans="3:26" s="18" customFormat="1">
      <c r="C38" s="38"/>
      <c r="D38" s="14"/>
      <c r="E38" s="14"/>
      <c r="F38" s="15"/>
      <c r="G38" s="16"/>
      <c r="H38" s="16"/>
      <c r="I38" s="16"/>
      <c r="J38" s="16"/>
      <c r="K38" s="16"/>
      <c r="L38" s="16"/>
      <c r="M38" s="16"/>
      <c r="N38" s="16"/>
      <c r="O38" s="17"/>
      <c r="Z38" s="19"/>
    </row>
    <row r="39" spans="3:26" s="18" customFormat="1">
      <c r="C39" s="38"/>
      <c r="D39" s="14"/>
      <c r="E39" s="14"/>
      <c r="F39" s="15"/>
      <c r="G39" s="16"/>
      <c r="H39" s="16"/>
      <c r="I39" s="16"/>
      <c r="J39" s="16"/>
      <c r="K39" s="16"/>
      <c r="L39" s="16"/>
      <c r="M39" s="16"/>
      <c r="N39" s="16"/>
      <c r="O39" s="17"/>
      <c r="Z39" s="19"/>
    </row>
    <row r="40" spans="3:26" s="18" customFormat="1">
      <c r="C40" s="43"/>
      <c r="D40" s="14"/>
      <c r="E40" s="14"/>
      <c r="F40" s="15"/>
      <c r="G40" s="16"/>
      <c r="H40" s="16"/>
      <c r="I40" s="16"/>
      <c r="J40" s="16"/>
      <c r="K40" s="16"/>
      <c r="L40" s="16"/>
      <c r="M40" s="16"/>
      <c r="N40" s="16"/>
      <c r="O40" s="17"/>
      <c r="Z40" s="19"/>
    </row>
    <row r="41" spans="3:26" s="18" customFormat="1">
      <c r="C41" s="43"/>
      <c r="D41" s="14"/>
      <c r="E41" s="14"/>
      <c r="F41" s="15"/>
      <c r="G41" s="16"/>
      <c r="H41" s="16"/>
      <c r="I41" s="16"/>
      <c r="J41" s="16"/>
      <c r="K41" s="16"/>
      <c r="L41" s="16"/>
      <c r="M41" s="16"/>
      <c r="N41" s="16"/>
      <c r="O41" s="17"/>
      <c r="Z41" s="19"/>
    </row>
    <row r="42" spans="3:26" s="18" customFormat="1">
      <c r="C42" s="43"/>
      <c r="D42" s="14"/>
      <c r="E42" s="14"/>
      <c r="F42" s="15"/>
      <c r="G42" s="16"/>
      <c r="H42" s="16"/>
      <c r="I42" s="16"/>
      <c r="J42" s="16"/>
      <c r="K42" s="16"/>
      <c r="L42" s="16"/>
      <c r="M42" s="16"/>
      <c r="N42" s="16"/>
      <c r="O42" s="17"/>
      <c r="Z42" s="19"/>
    </row>
    <row r="43" spans="3:26" s="18" customFormat="1">
      <c r="C43" s="43"/>
      <c r="D43" s="14"/>
      <c r="E43" s="14"/>
      <c r="F43" s="15"/>
      <c r="G43" s="16"/>
      <c r="H43" s="16"/>
      <c r="I43" s="16"/>
      <c r="J43" s="16"/>
      <c r="K43" s="16"/>
      <c r="L43" s="16"/>
      <c r="M43" s="16"/>
      <c r="N43" s="16"/>
      <c r="O43" s="17"/>
      <c r="Z43" s="19"/>
    </row>
    <row r="44" spans="3:26" s="18" customFormat="1">
      <c r="C44" s="43"/>
      <c r="D44" s="14"/>
      <c r="E44" s="14"/>
      <c r="F44" s="15"/>
      <c r="G44" s="16"/>
      <c r="H44" s="16"/>
      <c r="I44" s="16"/>
      <c r="J44" s="16"/>
      <c r="K44" s="16"/>
      <c r="L44" s="16"/>
      <c r="M44" s="16"/>
      <c r="N44" s="16"/>
      <c r="O44" s="17"/>
      <c r="Z44" s="19"/>
    </row>
    <row r="45" spans="3:26" s="18" customFormat="1">
      <c r="C45" s="43"/>
      <c r="D45" s="14"/>
      <c r="E45" s="14"/>
      <c r="F45" s="15"/>
      <c r="G45" s="16"/>
      <c r="H45" s="16"/>
      <c r="I45" s="16"/>
      <c r="J45" s="16"/>
      <c r="K45" s="16"/>
      <c r="L45" s="16"/>
      <c r="M45" s="16"/>
      <c r="N45" s="16"/>
      <c r="O45" s="17"/>
      <c r="Z45" s="19"/>
    </row>
    <row r="46" spans="3:26" s="18" customFormat="1">
      <c r="C46" s="43"/>
      <c r="D46" s="14"/>
      <c r="E46" s="14"/>
      <c r="F46" s="15"/>
      <c r="G46" s="16"/>
      <c r="H46" s="16"/>
      <c r="I46" s="16"/>
      <c r="J46" s="16"/>
      <c r="K46" s="16"/>
      <c r="L46" s="16"/>
      <c r="M46" s="16"/>
      <c r="N46" s="16"/>
      <c r="O46" s="17"/>
      <c r="Z46" s="19"/>
    </row>
    <row r="47" spans="3:26" s="18" customFormat="1">
      <c r="C47" s="43"/>
      <c r="D47" s="14"/>
      <c r="E47" s="14"/>
      <c r="F47" s="15"/>
      <c r="G47" s="16"/>
      <c r="H47" s="16"/>
      <c r="I47" s="16"/>
      <c r="J47" s="16"/>
      <c r="K47" s="16"/>
      <c r="L47" s="16"/>
      <c r="M47" s="16"/>
      <c r="N47" s="16"/>
      <c r="O47" s="17"/>
      <c r="Z47" s="19"/>
    </row>
    <row r="48" spans="3:26" s="18" customFormat="1">
      <c r="C48" s="43"/>
      <c r="D48" s="14"/>
      <c r="E48" s="14"/>
      <c r="F48" s="15"/>
      <c r="G48" s="16"/>
      <c r="H48" s="16"/>
      <c r="I48" s="16"/>
      <c r="J48" s="16"/>
      <c r="K48" s="16"/>
      <c r="L48" s="16"/>
      <c r="M48" s="16"/>
      <c r="N48" s="16"/>
      <c r="O48" s="17"/>
      <c r="Z48" s="19"/>
    </row>
    <row r="49" spans="3:26" s="18" customFormat="1">
      <c r="C49" s="43"/>
      <c r="D49" s="14"/>
      <c r="E49" s="14"/>
      <c r="F49" s="15"/>
      <c r="G49" s="16"/>
      <c r="H49" s="16"/>
      <c r="I49" s="16"/>
      <c r="J49" s="16"/>
      <c r="K49" s="16"/>
      <c r="L49" s="16"/>
      <c r="M49" s="16"/>
      <c r="N49" s="16"/>
      <c r="O49" s="17"/>
      <c r="Z49" s="19"/>
    </row>
    <row r="50" spans="3:26" s="18" customFormat="1">
      <c r="C50" s="43"/>
      <c r="D50" s="14"/>
      <c r="E50" s="14"/>
      <c r="F50" s="15"/>
      <c r="G50" s="16"/>
      <c r="H50" s="16"/>
      <c r="I50" s="16"/>
      <c r="J50" s="16"/>
      <c r="K50" s="16"/>
      <c r="L50" s="16"/>
      <c r="M50" s="16"/>
      <c r="N50" s="16"/>
      <c r="O50" s="17"/>
      <c r="Z50" s="19"/>
    </row>
    <row r="51" spans="3:26" s="18" customFormat="1">
      <c r="C51" s="43"/>
      <c r="D51" s="14"/>
      <c r="E51" s="14"/>
      <c r="F51" s="15"/>
      <c r="G51" s="16"/>
      <c r="H51" s="16"/>
      <c r="I51" s="16"/>
      <c r="J51" s="16"/>
      <c r="K51" s="16"/>
      <c r="L51" s="16"/>
      <c r="M51" s="16"/>
      <c r="N51" s="16"/>
      <c r="O51" s="17"/>
      <c r="Z51" s="19"/>
    </row>
    <row r="52" spans="3:26" s="18" customFormat="1">
      <c r="C52" s="43"/>
      <c r="D52" s="14"/>
      <c r="E52" s="14"/>
      <c r="F52" s="15"/>
      <c r="G52" s="16"/>
      <c r="H52" s="16"/>
      <c r="I52" s="16"/>
      <c r="J52" s="16"/>
      <c r="K52" s="16"/>
      <c r="L52" s="16"/>
      <c r="M52" s="16"/>
      <c r="N52" s="16"/>
      <c r="O52" s="17"/>
      <c r="Z52" s="19"/>
    </row>
    <row r="53" spans="3:26" s="18" customFormat="1">
      <c r="C53" s="43"/>
      <c r="D53" s="14"/>
      <c r="E53" s="14"/>
      <c r="F53" s="15"/>
      <c r="G53" s="16"/>
      <c r="H53" s="16"/>
      <c r="I53" s="16"/>
      <c r="J53" s="16"/>
      <c r="K53" s="16"/>
      <c r="L53" s="16"/>
      <c r="M53" s="16"/>
      <c r="N53" s="16"/>
      <c r="O53" s="17"/>
      <c r="Z53" s="19"/>
    </row>
    <row r="54" spans="3:26" s="18" customFormat="1">
      <c r="C54" s="43"/>
      <c r="D54" s="14"/>
      <c r="E54" s="14"/>
      <c r="F54" s="15"/>
      <c r="G54" s="16"/>
      <c r="H54" s="16"/>
      <c r="I54" s="16"/>
      <c r="J54" s="16"/>
      <c r="K54" s="16"/>
      <c r="L54" s="16"/>
      <c r="M54" s="16"/>
      <c r="N54" s="16"/>
      <c r="O54" s="17"/>
      <c r="Z54" s="19"/>
    </row>
    <row r="55" spans="3:26" s="18" customFormat="1">
      <c r="C55" s="43"/>
      <c r="D55" s="14"/>
      <c r="E55" s="14"/>
      <c r="F55" s="15"/>
      <c r="G55" s="16"/>
      <c r="H55" s="16"/>
      <c r="I55" s="16"/>
      <c r="J55" s="16"/>
      <c r="K55" s="16"/>
      <c r="L55" s="16"/>
      <c r="M55" s="16"/>
      <c r="N55" s="16"/>
      <c r="O55" s="17"/>
      <c r="Z55" s="19"/>
    </row>
    <row r="56" spans="3:26" s="18" customFormat="1">
      <c r="C56" s="43"/>
      <c r="D56" s="14"/>
      <c r="E56" s="14"/>
      <c r="F56" s="15"/>
      <c r="G56" s="16"/>
      <c r="H56" s="16"/>
      <c r="I56" s="16"/>
      <c r="J56" s="16"/>
      <c r="K56" s="16"/>
      <c r="L56" s="16"/>
      <c r="M56" s="16"/>
      <c r="N56" s="16"/>
      <c r="O56" s="17"/>
      <c r="Z56" s="19"/>
    </row>
    <row r="57" spans="3:26" s="18" customFormat="1">
      <c r="C57" s="43"/>
      <c r="D57" s="14"/>
      <c r="E57" s="14"/>
      <c r="F57" s="15"/>
      <c r="G57" s="16"/>
      <c r="H57" s="16"/>
      <c r="I57" s="16"/>
      <c r="J57" s="16"/>
      <c r="K57" s="16"/>
      <c r="L57" s="16"/>
      <c r="M57" s="16"/>
      <c r="N57" s="16"/>
      <c r="O57" s="17"/>
      <c r="Z57" s="19"/>
    </row>
    <row r="58" spans="3:26" s="18" customFormat="1">
      <c r="C58" s="43"/>
      <c r="D58" s="14"/>
      <c r="E58" s="14"/>
      <c r="F58" s="15"/>
      <c r="G58" s="16"/>
      <c r="H58" s="16"/>
      <c r="I58" s="16"/>
      <c r="J58" s="16"/>
      <c r="K58" s="16"/>
      <c r="L58" s="16"/>
      <c r="M58" s="16"/>
      <c r="N58" s="16"/>
      <c r="O58" s="17"/>
      <c r="Z58" s="19"/>
    </row>
    <row r="59" spans="3:26" s="18" customFormat="1">
      <c r="C59" s="43"/>
      <c r="D59" s="14"/>
      <c r="E59" s="14"/>
      <c r="F59" s="15"/>
      <c r="G59" s="16"/>
      <c r="H59" s="16"/>
      <c r="I59" s="16"/>
      <c r="J59" s="16"/>
      <c r="K59" s="16"/>
      <c r="L59" s="16"/>
      <c r="M59" s="16"/>
      <c r="N59" s="16"/>
      <c r="O59" s="17"/>
      <c r="Z59" s="19"/>
    </row>
    <row r="60" spans="3:26" s="18" customFormat="1">
      <c r="C60" s="43"/>
      <c r="D60" s="14"/>
      <c r="E60" s="14"/>
      <c r="F60" s="15"/>
      <c r="G60" s="16"/>
      <c r="H60" s="16"/>
      <c r="I60" s="16"/>
      <c r="J60" s="16"/>
      <c r="K60" s="16"/>
      <c r="L60" s="16"/>
      <c r="M60" s="16"/>
      <c r="N60" s="16"/>
      <c r="O60" s="17"/>
      <c r="Z60" s="19"/>
    </row>
    <row r="61" spans="3:26" s="18" customFormat="1">
      <c r="C61" s="43"/>
      <c r="D61" s="14"/>
      <c r="E61" s="14"/>
      <c r="F61" s="15"/>
      <c r="G61" s="16"/>
      <c r="H61" s="16"/>
      <c r="I61" s="16"/>
      <c r="J61" s="16"/>
      <c r="K61" s="16"/>
      <c r="L61" s="16"/>
      <c r="M61" s="16"/>
      <c r="N61" s="16"/>
      <c r="O61" s="17"/>
      <c r="Z61" s="19"/>
    </row>
    <row r="62" spans="3:26" s="18" customFormat="1">
      <c r="C62" s="43"/>
      <c r="D62" s="14"/>
      <c r="E62" s="14"/>
      <c r="F62" s="15"/>
      <c r="G62" s="16"/>
      <c r="H62" s="16"/>
      <c r="I62" s="16"/>
      <c r="J62" s="16"/>
      <c r="K62" s="16"/>
      <c r="L62" s="16"/>
      <c r="M62" s="16"/>
      <c r="N62" s="16"/>
      <c r="O62" s="17"/>
      <c r="Z62" s="19"/>
    </row>
    <row r="63" spans="3:26" s="18" customFormat="1">
      <c r="C63" s="43"/>
      <c r="D63" s="14"/>
      <c r="E63" s="14"/>
      <c r="F63" s="15"/>
      <c r="G63" s="16"/>
      <c r="H63" s="16"/>
      <c r="I63" s="16"/>
      <c r="J63" s="16"/>
      <c r="K63" s="16"/>
      <c r="L63" s="16"/>
      <c r="M63" s="16"/>
      <c r="N63" s="16"/>
      <c r="O63" s="17"/>
      <c r="Z63" s="19"/>
    </row>
    <row r="64" spans="3:26" s="18" customFormat="1">
      <c r="C64" s="43"/>
      <c r="D64" s="14"/>
      <c r="E64" s="14"/>
      <c r="F64" s="15"/>
      <c r="G64" s="16"/>
      <c r="H64" s="16"/>
      <c r="I64" s="16"/>
      <c r="J64" s="16"/>
      <c r="K64" s="16"/>
      <c r="L64" s="16"/>
      <c r="M64" s="16"/>
      <c r="N64" s="16"/>
      <c r="O64" s="17"/>
      <c r="Z64" s="19"/>
    </row>
    <row r="65" spans="3:26" s="18" customFormat="1">
      <c r="C65" s="43"/>
      <c r="D65" s="14"/>
      <c r="E65" s="14"/>
      <c r="F65" s="15"/>
      <c r="G65" s="16"/>
      <c r="H65" s="16"/>
      <c r="I65" s="16"/>
      <c r="J65" s="16"/>
      <c r="K65" s="16"/>
      <c r="L65" s="16"/>
      <c r="M65" s="16"/>
      <c r="N65" s="16"/>
      <c r="O65" s="17"/>
      <c r="Z65" s="19"/>
    </row>
    <row r="66" spans="3:26" s="18" customFormat="1">
      <c r="C66" s="43"/>
      <c r="D66" s="14"/>
      <c r="E66" s="14"/>
      <c r="F66" s="15"/>
      <c r="G66" s="16"/>
      <c r="H66" s="16"/>
      <c r="I66" s="16"/>
      <c r="J66" s="16"/>
      <c r="K66" s="16"/>
      <c r="L66" s="16"/>
      <c r="M66" s="16"/>
      <c r="N66" s="16"/>
      <c r="O66" s="17"/>
      <c r="Z66" s="19"/>
    </row>
    <row r="67" spans="3:26" s="18" customFormat="1">
      <c r="C67" s="43"/>
      <c r="D67" s="14"/>
      <c r="E67" s="14"/>
      <c r="F67" s="15"/>
      <c r="G67" s="16"/>
      <c r="H67" s="16"/>
      <c r="I67" s="16"/>
      <c r="J67" s="16"/>
      <c r="K67" s="16"/>
      <c r="L67" s="16"/>
      <c r="M67" s="16"/>
      <c r="N67" s="16"/>
      <c r="O67" s="17"/>
      <c r="Z67" s="19"/>
    </row>
    <row r="68" spans="3:26" s="18" customFormat="1">
      <c r="C68" s="43"/>
      <c r="D68" s="14"/>
      <c r="E68" s="14"/>
      <c r="F68" s="15"/>
      <c r="G68" s="16"/>
      <c r="H68" s="16"/>
      <c r="I68" s="16"/>
      <c r="J68" s="16"/>
      <c r="K68" s="16"/>
      <c r="L68" s="16"/>
      <c r="M68" s="16"/>
      <c r="N68" s="16"/>
      <c r="O68" s="17"/>
      <c r="Z68" s="19"/>
    </row>
    <row r="69" spans="3:26" s="18" customFormat="1">
      <c r="C69" s="43"/>
      <c r="D69" s="14"/>
      <c r="E69" s="14"/>
      <c r="F69" s="15"/>
      <c r="G69" s="16"/>
      <c r="H69" s="16"/>
      <c r="I69" s="16"/>
      <c r="J69" s="16"/>
      <c r="K69" s="16"/>
      <c r="L69" s="16"/>
      <c r="M69" s="16"/>
      <c r="N69" s="16"/>
      <c r="O69" s="17"/>
      <c r="Z69" s="19"/>
    </row>
    <row r="70" spans="3:26" s="18" customFormat="1">
      <c r="C70" s="43"/>
      <c r="D70" s="14"/>
      <c r="E70" s="14"/>
      <c r="F70" s="15"/>
      <c r="G70" s="16"/>
      <c r="H70" s="16"/>
      <c r="I70" s="16"/>
      <c r="J70" s="16"/>
      <c r="K70" s="16"/>
      <c r="L70" s="16"/>
      <c r="M70" s="16"/>
      <c r="N70" s="16"/>
      <c r="O70" s="17"/>
      <c r="Z70" s="19"/>
    </row>
    <row r="71" spans="3:26" s="18" customFormat="1">
      <c r="C71" s="43"/>
      <c r="D71" s="14"/>
      <c r="E71" s="14"/>
      <c r="F71" s="15"/>
      <c r="G71" s="16"/>
      <c r="H71" s="16"/>
      <c r="I71" s="16"/>
      <c r="J71" s="16"/>
      <c r="K71" s="16"/>
      <c r="L71" s="16"/>
      <c r="M71" s="16"/>
      <c r="N71" s="16"/>
      <c r="O71" s="17"/>
      <c r="Z71" s="19"/>
    </row>
  </sheetData>
  <phoneticPr fontId="0" type="noConversion"/>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dimension ref="A2:C17"/>
  <sheetViews>
    <sheetView workbookViewId="0">
      <selection activeCell="B18" sqref="B18"/>
    </sheetView>
  </sheetViews>
  <sheetFormatPr defaultRowHeight="12.75"/>
  <cols>
    <col min="1" max="1" width="5.5703125" customWidth="1"/>
    <col min="2" max="2" width="5.7109375" customWidth="1"/>
  </cols>
  <sheetData>
    <row r="2" spans="1:3">
      <c r="A2">
        <v>1</v>
      </c>
      <c r="B2" s="131" t="s">
        <v>108</v>
      </c>
    </row>
    <row r="3" spans="1:3">
      <c r="A3">
        <v>2</v>
      </c>
      <c r="B3" s="131" t="s">
        <v>109</v>
      </c>
    </row>
    <row r="4" spans="1:3">
      <c r="A4">
        <v>3</v>
      </c>
      <c r="B4" s="131" t="s">
        <v>110</v>
      </c>
    </row>
    <row r="6" spans="1:3">
      <c r="A6">
        <v>4</v>
      </c>
      <c r="B6" s="131" t="s">
        <v>111</v>
      </c>
    </row>
    <row r="8" spans="1:3">
      <c r="B8" s="131" t="s">
        <v>118</v>
      </c>
    </row>
    <row r="10" spans="1:3">
      <c r="B10" s="285" t="s">
        <v>116</v>
      </c>
    </row>
    <row r="11" spans="1:3">
      <c r="B11" s="131"/>
      <c r="C11" s="285" t="s">
        <v>114</v>
      </c>
    </row>
    <row r="12" spans="1:3">
      <c r="C12" s="285" t="s">
        <v>117</v>
      </c>
    </row>
    <row r="14" spans="1:3">
      <c r="B14" s="131"/>
      <c r="C14" s="286" t="s">
        <v>113</v>
      </c>
    </row>
    <row r="16" spans="1:3">
      <c r="B16" s="131" t="s">
        <v>115</v>
      </c>
    </row>
    <row r="17" spans="2:2">
      <c r="B17" s="131"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V34"/>
  <sheetViews>
    <sheetView showZeros="0" zoomScale="85" workbookViewId="0">
      <selection activeCell="K19" sqref="K19"/>
    </sheetView>
  </sheetViews>
  <sheetFormatPr defaultRowHeight="12.75"/>
  <cols>
    <col min="1" max="1" width="11" style="66" customWidth="1"/>
    <col min="2" max="2" width="10.140625" style="27" customWidth="1"/>
    <col min="3" max="3" width="11" style="29" customWidth="1"/>
    <col min="4" max="4" width="4.85546875" style="26" customWidth="1"/>
    <col min="5" max="5" width="11.85546875" style="44" customWidth="1"/>
    <col min="6" max="6" width="5.7109375" style="27" customWidth="1"/>
    <col min="7" max="7" width="9.7109375" style="8" customWidth="1"/>
    <col min="8" max="8" width="6.28515625" style="26" customWidth="1"/>
    <col min="9" max="9" width="10.7109375" style="8" customWidth="1"/>
    <col min="10" max="10" width="5.7109375" style="26" customWidth="1"/>
    <col min="11" max="11" width="10.7109375" style="8" customWidth="1"/>
    <col min="12" max="12" width="5.42578125" style="26" customWidth="1"/>
    <col min="13" max="13" width="10.85546875" style="8" customWidth="1"/>
    <col min="14" max="14" width="5.5703125" style="26" customWidth="1"/>
    <col min="15" max="15" width="12" style="8" customWidth="1"/>
    <col min="16" max="16" width="6" style="26" customWidth="1"/>
    <col min="17" max="17" width="12" style="8" customWidth="1"/>
    <col min="18" max="18" width="6" style="26" customWidth="1"/>
    <col min="19" max="19" width="10.42578125" style="8" customWidth="1"/>
    <col min="20" max="20" width="5.7109375" style="26" customWidth="1"/>
    <col min="21" max="21" width="10.42578125" style="66" customWidth="1"/>
    <col min="22" max="22" width="5.28515625" style="27" customWidth="1"/>
    <col min="23" max="16384" width="9.140625" style="27"/>
  </cols>
  <sheetData>
    <row r="1" spans="1:22">
      <c r="A1" s="27" t="str">
        <f>Lothar!C1</f>
        <v>Lothars Revenge: Oranje (naar) boven!</v>
      </c>
      <c r="B1" s="37"/>
      <c r="C1" s="134" t="str">
        <f>SVU!C1</f>
        <v>Special Victims Unit</v>
      </c>
      <c r="D1" s="37"/>
      <c r="E1" s="27" t="str">
        <f>Mahawong!C1</f>
        <v>Mahawong</v>
      </c>
      <c r="F1" s="37"/>
      <c r="G1" s="131" t="str">
        <f>Winner!C1</f>
        <v>Winner on Wheels</v>
      </c>
      <c r="H1" s="37"/>
      <c r="I1" s="27" t="str">
        <f>Selfkant!C1</f>
        <v>Am Selfkant</v>
      </c>
      <c r="J1" s="37"/>
      <c r="K1" s="131" t="str">
        <f>Lange!C1</f>
        <v>De Lange Man</v>
      </c>
      <c r="L1" s="37"/>
      <c r="M1" s="27" t="str">
        <f>Ode!C1</f>
        <v>Ode Kolonne</v>
      </c>
      <c r="N1" s="37"/>
      <c r="O1" s="27" t="str">
        <f>Ami!C1</f>
        <v>Ami</v>
      </c>
      <c r="P1" s="37"/>
      <c r="Q1" s="27" t="str">
        <f>IJff!C1</f>
        <v>IJffjes Boys</v>
      </c>
      <c r="R1" s="37"/>
      <c r="S1" s="131" t="str">
        <f>City!C1</f>
        <v>City United</v>
      </c>
      <c r="T1" s="37"/>
      <c r="U1" s="131" t="str">
        <f>Gran!C1</f>
        <v>El Gran</v>
      </c>
      <c r="V1" s="37"/>
    </row>
    <row r="2" spans="1:22">
      <c r="A2" s="27">
        <f>Lothar!C2</f>
        <v>0</v>
      </c>
      <c r="C2" s="7">
        <f>SVU!C2</f>
        <v>0</v>
      </c>
      <c r="D2" s="27"/>
      <c r="E2" s="27">
        <f>Mahawong!C2</f>
        <v>0</v>
      </c>
      <c r="G2" s="1">
        <f>Winner!C2</f>
        <v>0</v>
      </c>
      <c r="H2" s="27"/>
      <c r="I2" s="27">
        <f>Selfkant!C2</f>
        <v>0</v>
      </c>
      <c r="J2" s="27"/>
      <c r="K2" s="1">
        <f>Lange!C2</f>
        <v>0</v>
      </c>
      <c r="L2" s="27"/>
      <c r="M2" s="27">
        <f>Ode!C2</f>
        <v>0</v>
      </c>
      <c r="N2" s="27"/>
      <c r="O2" s="27">
        <f>Ami!C2</f>
        <v>0</v>
      </c>
      <c r="P2" s="27"/>
      <c r="Q2" s="27">
        <f>IJff!C2</f>
        <v>0</v>
      </c>
      <c r="R2" s="27"/>
      <c r="S2" s="131">
        <f>City!C2</f>
        <v>0</v>
      </c>
      <c r="T2" s="27"/>
      <c r="U2" s="1">
        <f>Theo!C2</f>
        <v>0</v>
      </c>
    </row>
    <row r="3" spans="1:22" s="31" customFormat="1" ht="39.75" customHeight="1" thickBot="1">
      <c r="A3" s="115" t="str">
        <f>Lothar!C3</f>
        <v>Ernest</v>
      </c>
      <c r="B3" s="132"/>
      <c r="C3" s="133" t="str">
        <f>SVU!C3</f>
        <v>Kees</v>
      </c>
      <c r="D3" s="132"/>
      <c r="E3" s="115" t="str">
        <f>Mahawong!C3</f>
        <v>Jan</v>
      </c>
      <c r="F3" s="132"/>
      <c r="G3" s="133" t="str">
        <f>Winner!C3</f>
        <v>Marjon</v>
      </c>
      <c r="H3" s="132"/>
      <c r="I3" s="115" t="str">
        <f>Selfkant!C3</f>
        <v>Peter K.</v>
      </c>
      <c r="J3" s="132"/>
      <c r="K3" s="133" t="str">
        <f>Lange!C3</f>
        <v>Gerard</v>
      </c>
      <c r="L3" s="132"/>
      <c r="M3" s="115" t="str">
        <f>Ode!C3</f>
        <v>Matthijs</v>
      </c>
      <c r="N3" s="132"/>
      <c r="O3" s="115" t="str">
        <f>Ami!C3</f>
        <v>Willem</v>
      </c>
      <c r="P3" s="132"/>
      <c r="Q3" s="115" t="str">
        <f>IJff!C3</f>
        <v>Annita</v>
      </c>
      <c r="R3" s="132"/>
      <c r="S3" s="115" t="str">
        <f>City!C3</f>
        <v>Jolanthe/Bart</v>
      </c>
      <c r="T3" s="132"/>
      <c r="U3" s="133" t="str">
        <f>Gran!C3</f>
        <v>Leen Hoogeveen</v>
      </c>
      <c r="V3" s="132"/>
    </row>
    <row r="4" spans="1:22" s="37" customFormat="1" ht="13.5" thickTop="1">
      <c r="A4" s="37" t="str">
        <f>Lothar!C4</f>
        <v>Gesink</v>
      </c>
      <c r="B4" s="299">
        <f ca="1">VLOOKUP(A4,Score!$B$2:$X$71,23,0)</f>
        <v>27.056902252550096</v>
      </c>
      <c r="C4" s="303" t="str">
        <f>SVU!C4</f>
        <v>KITTEL</v>
      </c>
      <c r="D4" s="299">
        <f ca="1">VLOOKUP(C4,Score!$B$2:$X$71,23,0)</f>
        <v>7.3960276948728351E-2</v>
      </c>
      <c r="E4" s="304" t="str">
        <f>Mahawong!C4</f>
        <v>Evans</v>
      </c>
      <c r="F4" s="299">
        <f ca="1">VLOOKUP(E4,Score!$B$2:$X$71,23,0)</f>
        <v>332.07018571306276</v>
      </c>
      <c r="G4" s="305" t="str">
        <f>Winner!C4</f>
        <v>Martin</v>
      </c>
      <c r="H4" s="299">
        <f ca="1">VLOOKUP(G4,Score!$B$2:$X$71,23,0)</f>
        <v>14.081791760144158</v>
      </c>
      <c r="I4" s="304" t="str">
        <f>Selfkant!C4</f>
        <v>Evans</v>
      </c>
      <c r="J4" s="299">
        <f ca="1">VLOOKUP(I4,Score!$B$2:$X$71,23,0)</f>
        <v>332.07018571306276</v>
      </c>
      <c r="K4" s="305" t="str">
        <f>Lange!C4</f>
        <v>Evans</v>
      </c>
      <c r="L4" s="299">
        <f ca="1">VLOOKUP(K4,Score!$B$2:$X$71,23,0)</f>
        <v>332.07018571306276</v>
      </c>
      <c r="M4" s="304" t="str">
        <f>Ode!C4</f>
        <v>Cancellara</v>
      </c>
      <c r="N4" s="299">
        <f ca="1">VLOOKUP(M4,Score!$B$2:$X$71,23,0)</f>
        <v>208.0560088119135</v>
      </c>
      <c r="O4" s="304" t="str">
        <f>Ami!C4</f>
        <v>Evans</v>
      </c>
      <c r="P4" s="299">
        <f ca="1">VLOOKUP(O4,Score!$B$2:$X$71,23,0)</f>
        <v>332.07018571306276</v>
      </c>
      <c r="Q4" s="304" t="str">
        <f>IJff!C4</f>
        <v>Evans</v>
      </c>
      <c r="R4" s="299">
        <f ca="1">VLOOKUP(Q4,Score!$B$2:$X$71,23,0)</f>
        <v>332.07018571306276</v>
      </c>
      <c r="S4" s="306" t="str">
        <f>City!C4</f>
        <v>Boasson Hagen</v>
      </c>
      <c r="T4" s="299">
        <f ca="1">VLOOKUP(S4,Score!$B$2:$X$71,23,0)</f>
        <v>210.04929363594169</v>
      </c>
      <c r="U4" s="305" t="str">
        <f>Gran!C4</f>
        <v>Evans</v>
      </c>
      <c r="V4" s="299">
        <f ca="1">VLOOKUP(U4,Score!$B$2:$X$71,23,0)</f>
        <v>332.07018571306276</v>
      </c>
    </row>
    <row r="5" spans="1:22" s="37" customFormat="1">
      <c r="A5" s="37" t="str">
        <f>Lothar!C5</f>
        <v>Mollema</v>
      </c>
      <c r="B5" s="299">
        <f ca="1">VLOOKUP(A5,Score!$B$2:$X$71,23,0)</f>
        <v>54.021480097178738</v>
      </c>
      <c r="C5" s="303" t="str">
        <f>SVU!C5</f>
        <v>EVANS</v>
      </c>
      <c r="D5" s="299">
        <f ca="1">VLOOKUP(C5,Score!$B$2:$X$71,23,0)</f>
        <v>332.07018571306276</v>
      </c>
      <c r="E5" s="304" t="str">
        <f>Mahawong!C5</f>
        <v>Gilbert</v>
      </c>
      <c r="F5" s="299">
        <f ca="1">VLOOKUP(E5,Score!$B$2:$X$71,23,0)</f>
        <v>95.029901451657864</v>
      </c>
      <c r="G5" s="305" t="str">
        <f>Winner!C5</f>
        <v>Wiggins</v>
      </c>
      <c r="H5" s="299">
        <f ca="1">VLOOKUP(G5,Score!$B$2:$X$71,23,0)</f>
        <v>499.01818839232175</v>
      </c>
      <c r="I5" s="304" t="str">
        <f>Selfkant!C5</f>
        <v>Cavendish</v>
      </c>
      <c r="J5" s="299">
        <f ca="1">VLOOKUP(I5,Score!$B$2:$X$71,23,0)</f>
        <v>168.03429230060215</v>
      </c>
      <c r="K5" s="305" t="str">
        <f>Lange!C5</f>
        <v>Sanchez</v>
      </c>
      <c r="L5" s="299">
        <f ca="1">VLOOKUP(K5,Score!$B$2:$X$71,23,0)</f>
        <v>44.049657256064187</v>
      </c>
      <c r="M5" s="304" t="str">
        <f>Ode!C5</f>
        <v>Cavendish</v>
      </c>
      <c r="N5" s="299">
        <f ca="1">VLOOKUP(M5,Score!$B$2:$X$71,23,0)</f>
        <v>168.03429230060215</v>
      </c>
      <c r="O5" s="304" t="str">
        <f>Ami!C5</f>
        <v>Schleck</v>
      </c>
      <c r="P5" s="299">
        <f ca="1">VLOOKUP(O5,Score!$B$2:$X$71,23,0)</f>
        <v>52.004242049186956</v>
      </c>
      <c r="Q5" s="304" t="str">
        <f>IJff!C5</f>
        <v>Gilbert</v>
      </c>
      <c r="R5" s="299">
        <f ca="1">VLOOKUP(Q5,Score!$B$2:$X$71,23,0)</f>
        <v>95.029901451657864</v>
      </c>
      <c r="S5" s="306" t="str">
        <f>City!C5</f>
        <v>Cancellara</v>
      </c>
      <c r="T5" s="299">
        <f ca="1">VLOOKUP(S5,Score!$B$2:$X$71,23,0)</f>
        <v>208.0560088119135</v>
      </c>
      <c r="U5" s="305" t="str">
        <f>Gran!C5</f>
        <v>Cancellara</v>
      </c>
      <c r="V5" s="299">
        <f ca="1">VLOOKUP(U5,Score!$B$2:$X$71,23,0)</f>
        <v>208.0560088119135</v>
      </c>
    </row>
    <row r="6" spans="1:22" s="37" customFormat="1">
      <c r="A6" s="37" t="str">
        <f>Lothar!C6</f>
        <v>Westra</v>
      </c>
      <c r="B6" s="299">
        <f ca="1">VLOOKUP(A6,Score!$B$2:$X$71,23,0)</f>
        <v>9.0170346901431255</v>
      </c>
      <c r="C6" s="303" t="str">
        <f>SVU!C6</f>
        <v>SANCHEZ</v>
      </c>
      <c r="D6" s="299">
        <f ca="1">VLOOKUP(C6,Score!$B$2:$X$71,23,0)</f>
        <v>44.049657256064187</v>
      </c>
      <c r="E6" s="304" t="str">
        <f>Mahawong!C6</f>
        <v>Schleck</v>
      </c>
      <c r="F6" s="299">
        <f ca="1">VLOOKUP(E6,Score!$B$2:$X$71,23,0)</f>
        <v>52.004242049186956</v>
      </c>
      <c r="G6" s="305" t="str">
        <f>Winner!C6</f>
        <v>Evans</v>
      </c>
      <c r="H6" s="299">
        <f ca="1">VLOOKUP(G6,Score!$B$2:$X$71,23,0)</f>
        <v>332.07018571306276</v>
      </c>
      <c r="I6" s="304" t="str">
        <f>Selfkant!C6</f>
        <v>Schleck</v>
      </c>
      <c r="J6" s="299">
        <f ca="1">VLOOKUP(I6,Score!$B$2:$X$71,23,0)</f>
        <v>52.004242049186956</v>
      </c>
      <c r="K6" s="305" t="str">
        <f>Lange!C6</f>
        <v>Farrar</v>
      </c>
      <c r="L6" s="299">
        <f ca="1">VLOOKUP(K6,Score!$B$2:$X$71,23,0)</f>
        <v>69.004325144389838</v>
      </c>
      <c r="M6" s="304" t="str">
        <f>Ode!C6</f>
        <v>Danielson</v>
      </c>
      <c r="N6" s="299">
        <f ca="1">VLOOKUP(M6,Score!$B$2:$X$71,23,0)</f>
        <v>7.8032900483059636E-2</v>
      </c>
      <c r="O6" s="304" t="str">
        <f>Ami!C6</f>
        <v>Rolland</v>
      </c>
      <c r="P6" s="299">
        <f ca="1">VLOOKUP(O6,Score!$B$2:$X$71,23,0)</f>
        <v>165.02067490607044</v>
      </c>
      <c r="Q6" s="304" t="str">
        <f>IJff!C6</f>
        <v>Schleck</v>
      </c>
      <c r="R6" s="299">
        <f ca="1">VLOOKUP(Q6,Score!$B$2:$X$71,23,0)</f>
        <v>52.004242049186956</v>
      </c>
      <c r="S6" s="306" t="str">
        <f>City!C6</f>
        <v>Cavendish</v>
      </c>
      <c r="T6" s="299">
        <f ca="1">VLOOKUP(S6,Score!$B$2:$X$71,23,0)</f>
        <v>168.03429230060215</v>
      </c>
      <c r="U6" s="305" t="str">
        <f>Gran!C6</f>
        <v>Sanchez</v>
      </c>
      <c r="V6" s="299">
        <f ca="1">VLOOKUP(U6,Score!$B$2:$X$71,23,0)</f>
        <v>44.049657256064187</v>
      </c>
    </row>
    <row r="7" spans="1:22" s="37" customFormat="1">
      <c r="A7" s="37" t="str">
        <f>Lothar!C7</f>
        <v>Hoogerland</v>
      </c>
      <c r="B7" s="299">
        <f ca="1">VLOOKUP(A7,Score!$B$2:$X$71,23,0)</f>
        <v>4.953592998422076E-2</v>
      </c>
      <c r="C7" s="303" t="str">
        <f>SVU!C7</f>
        <v>FREIRE</v>
      </c>
      <c r="D7" s="299">
        <f ca="1">VLOOKUP(C7,Score!$B$2:$X$71,23,0)</f>
        <v>29.051217514035162</v>
      </c>
      <c r="E7" s="304" t="str">
        <f>Mahawong!C7</f>
        <v>Kloden</v>
      </c>
      <c r="F7" s="299">
        <f ca="1">VLOOKUP(E7,Score!$B$2:$X$71,23,0)</f>
        <v>103.02633097660998</v>
      </c>
      <c r="G7" s="305" t="str">
        <f>Winner!C7</f>
        <v>Van den Broeck</v>
      </c>
      <c r="H7" s="299">
        <f ca="1">VLOOKUP(G7,Score!$B$2:$X$71,23,0)</f>
        <v>196.02644451917828</v>
      </c>
      <c r="I7" s="304" t="str">
        <f>Selfkant!C7</f>
        <v>Nibali</v>
      </c>
      <c r="J7" s="299">
        <f ca="1">VLOOKUP(I7,Score!$B$2:$X$71,23,0)</f>
        <v>351.01312799751599</v>
      </c>
      <c r="K7" s="305" t="str">
        <f>Lange!C7</f>
        <v>Nibali</v>
      </c>
      <c r="L7" s="299">
        <f ca="1">VLOOKUP(K7,Score!$B$2:$X$71,23,0)</f>
        <v>351.01312799751599</v>
      </c>
      <c r="M7" s="304" t="str">
        <f>Ode!C7</f>
        <v>Evans</v>
      </c>
      <c r="N7" s="299">
        <f ca="1">VLOOKUP(M7,Score!$B$2:$X$71,23,0)</f>
        <v>332.07018571306276</v>
      </c>
      <c r="O7" s="304" t="str">
        <f>Ami!C7</f>
        <v>Sanchez</v>
      </c>
      <c r="P7" s="299">
        <f ca="1">VLOOKUP(O7,Score!$B$2:$X$71,23,0)</f>
        <v>44.049657256064187</v>
      </c>
      <c r="Q7" s="304" t="str">
        <f>IJff!C7</f>
        <v>Cancellara</v>
      </c>
      <c r="R7" s="299">
        <f ca="1">VLOOKUP(Q7,Score!$B$2:$X$71,23,0)</f>
        <v>208.0560088119135</v>
      </c>
      <c r="S7" s="306" t="str">
        <f>City!C7</f>
        <v>Evans</v>
      </c>
      <c r="T7" s="299">
        <f ca="1">VLOOKUP(S7,Score!$B$2:$X$71,23,0)</f>
        <v>332.07018571306276</v>
      </c>
      <c r="U7" s="305" t="str">
        <f>Gran!C7</f>
        <v>Sagan</v>
      </c>
      <c r="V7" s="299">
        <f ca="1">VLOOKUP(U7,Score!$B$2:$X$71,23,0)</f>
        <v>420.09516070075659</v>
      </c>
    </row>
    <row r="8" spans="1:22" s="37" customFormat="1">
      <c r="A8" s="37" t="str">
        <f>Lothar!C8</f>
        <v>Poels</v>
      </c>
      <c r="B8" s="299">
        <f ca="1">VLOOKUP(A8,Score!$B$2:$X$71,23,0)</f>
        <v>14.074804695683621</v>
      </c>
      <c r="C8" s="303" t="str">
        <f>SVU!C8</f>
        <v>NIBALI</v>
      </c>
      <c r="D8" s="299">
        <f ca="1">VLOOKUP(C8,Score!$B$2:$X$71,23,0)</f>
        <v>351.01312799751599</v>
      </c>
      <c r="E8" s="304" t="str">
        <f>Mahawong!C8</f>
        <v>Feillu</v>
      </c>
      <c r="F8" s="299">
        <f ca="1">VLOOKUP(E8,Score!$B$2:$X$71,23,0)</f>
        <v>23.056302242437248</v>
      </c>
      <c r="G8" s="305" t="str">
        <f>Winner!C8</f>
        <v>Schleck</v>
      </c>
      <c r="H8" s="299">
        <f ca="1">VLOOKUP(G8,Score!$B$2:$X$71,23,0)</f>
        <v>52.004242049186956</v>
      </c>
      <c r="I8" s="304" t="str">
        <f>Selfkant!C8</f>
        <v>Sanchez</v>
      </c>
      <c r="J8" s="299">
        <f ca="1">VLOOKUP(I8,Score!$B$2:$X$71,23,0)</f>
        <v>44.049657256064187</v>
      </c>
      <c r="K8" s="305" t="str">
        <f>Lange!C8</f>
        <v>Sagan</v>
      </c>
      <c r="L8" s="299">
        <f ca="1">VLOOKUP(K8,Score!$B$2:$X$71,23,0)</f>
        <v>420.09516070075659</v>
      </c>
      <c r="M8" s="304" t="str">
        <f>Ode!C8</f>
        <v>Farrar</v>
      </c>
      <c r="N8" s="299">
        <f ca="1">VLOOKUP(M8,Score!$B$2:$X$71,23,0)</f>
        <v>69.004325144389838</v>
      </c>
      <c r="O8" s="304" t="str">
        <f>Ami!C8</f>
        <v>Sagan</v>
      </c>
      <c r="P8" s="299">
        <f ca="1">VLOOKUP(O8,Score!$B$2:$X$71,23,0)</f>
        <v>420.09516070075659</v>
      </c>
      <c r="Q8" s="304" t="str">
        <f>IJff!C8</f>
        <v>Voeckler</v>
      </c>
      <c r="R8" s="299">
        <f ca="1">VLOOKUP(Q8,Score!$B$2:$X$71,23,0)</f>
        <v>129.0386807353191</v>
      </c>
      <c r="S8" s="306" t="str">
        <f>City!C8</f>
        <v>Farrar</v>
      </c>
      <c r="T8" s="299">
        <f ca="1">VLOOKUP(S8,Score!$B$2:$X$71,23,0)</f>
        <v>69.004325144389838</v>
      </c>
      <c r="U8" s="305" t="str">
        <f>Gran!C8</f>
        <v>Farrar</v>
      </c>
      <c r="V8" s="299">
        <f ca="1">VLOOKUP(U8,Score!$B$2:$X$71,23,0)</f>
        <v>69.004325144389838</v>
      </c>
    </row>
    <row r="9" spans="1:22" s="37" customFormat="1">
      <c r="A9" s="37" t="str">
        <f>Lothar!C9</f>
        <v>Boasson Hagen</v>
      </c>
      <c r="B9" s="299">
        <f ca="1">VLOOKUP(A9,Score!$B$2:$X$71,23,0)</f>
        <v>210.04929363594169</v>
      </c>
      <c r="C9" s="303" t="str">
        <f>SVU!C9</f>
        <v>SAGAN</v>
      </c>
      <c r="D9" s="299">
        <f ca="1">VLOOKUP(C9,Score!$B$2:$X$71,23,0)</f>
        <v>420.09516070075659</v>
      </c>
      <c r="E9" s="304" t="str">
        <f>Mahawong!C9</f>
        <v>Sanchez</v>
      </c>
      <c r="F9" s="299">
        <f ca="1">VLOOKUP(E9,Score!$B$2:$X$71,23,0)</f>
        <v>44.049657256064187</v>
      </c>
      <c r="G9" s="305" t="str">
        <f>Winner!C9</f>
        <v>Leipheimer</v>
      </c>
      <c r="H9" s="299">
        <f ca="1">VLOOKUP(G9,Score!$B$2:$X$71,23,0)</f>
        <v>6.011569402067483</v>
      </c>
      <c r="I9" s="304" t="str">
        <f>Selfkant!C9</f>
        <v>Sagan</v>
      </c>
      <c r="J9" s="299">
        <f ca="1">VLOOKUP(I9,Score!$B$2:$X$71,23,0)</f>
        <v>420.09516070075659</v>
      </c>
      <c r="K9" s="305" t="str">
        <f>Lange!C9</f>
        <v>Rojas</v>
      </c>
      <c r="L9" s="299">
        <f ca="1">VLOOKUP(K9,Score!$B$2:$X$71,23,0)</f>
        <v>15.088807891585148</v>
      </c>
      <c r="M9" s="304" t="str">
        <f>Ode!C9</f>
        <v>Gilbert</v>
      </c>
      <c r="N9" s="299">
        <f ca="1">VLOOKUP(M9,Score!$B$2:$X$71,23,0)</f>
        <v>95.029901451657864</v>
      </c>
      <c r="O9" s="304" t="str">
        <f>Ami!C9</f>
        <v>Danielson</v>
      </c>
      <c r="P9" s="299">
        <f ca="1">VLOOKUP(O9,Score!$B$2:$X$71,23,0)</f>
        <v>7.8032900483059636E-2</v>
      </c>
      <c r="Q9" s="304" t="str">
        <f>IJff!C9</f>
        <v>Rolland</v>
      </c>
      <c r="R9" s="299">
        <f ca="1">VLOOKUP(Q9,Score!$B$2:$X$71,23,0)</f>
        <v>165.02067490607044</v>
      </c>
      <c r="S9" s="306" t="str">
        <f>City!C9</f>
        <v>Gesink</v>
      </c>
      <c r="T9" s="299">
        <f ca="1">VLOOKUP(S9,Score!$B$2:$X$71,23,0)</f>
        <v>27.056902252550096</v>
      </c>
      <c r="U9" s="305" t="str">
        <f>Gran!C9</f>
        <v>Wiggins</v>
      </c>
      <c r="V9" s="299">
        <f ca="1">VLOOKUP(U9,Score!$B$2:$X$71,23,0)</f>
        <v>499.01818839232175</v>
      </c>
    </row>
    <row r="10" spans="1:22" s="37" customFormat="1">
      <c r="A10" s="37" t="str">
        <f>Lothar!C10</f>
        <v>Sagan</v>
      </c>
      <c r="B10" s="299">
        <f ca="1">VLOOKUP(A10,Score!$B$2:$X$71,23,0)</f>
        <v>420.09516070075659</v>
      </c>
      <c r="C10" s="303" t="str">
        <f>SVU!C10</f>
        <v>VAN DEN BROECK</v>
      </c>
      <c r="D10" s="299">
        <f ca="1">VLOOKUP(C10,Score!$B$2:$X$71,23,0)</f>
        <v>196.02644451917828</v>
      </c>
      <c r="E10" s="304" t="str">
        <f>Mahawong!C10</f>
        <v>Basso</v>
      </c>
      <c r="F10" s="299">
        <f ca="1">VLOOKUP(E10,Score!$B$2:$X$71,23,0)</f>
        <v>22.057007483883186</v>
      </c>
      <c r="G10" s="305" t="str">
        <f>Winner!C10</f>
        <v>Gesink</v>
      </c>
      <c r="H10" s="299">
        <f ca="1">VLOOKUP(G10,Score!$B$2:$X$71,23,0)</f>
        <v>27.056902252550096</v>
      </c>
      <c r="I10" s="304" t="str">
        <f>Selfkant!C10</f>
        <v>Wiggins</v>
      </c>
      <c r="J10" s="299">
        <f ca="1">VLOOKUP(I10,Score!$B$2:$X$71,23,0)</f>
        <v>499.01818839232175</v>
      </c>
      <c r="K10" s="305" t="str">
        <f>Lange!C10</f>
        <v>Schleck</v>
      </c>
      <c r="L10" s="299">
        <f ca="1">VLOOKUP(K10,Score!$B$2:$X$71,23,0)</f>
        <v>52.004242049186956</v>
      </c>
      <c r="M10" s="304" t="str">
        <f>Ode!C10</f>
        <v>Goss</v>
      </c>
      <c r="N10" s="299">
        <f ca="1">VLOOKUP(M10,Score!$B$2:$X$71,23,0)</f>
        <v>244.03859848521671</v>
      </c>
      <c r="O10" s="304" t="str">
        <f>Ami!C10</f>
        <v>Hesjedal</v>
      </c>
      <c r="P10" s="299">
        <f ca="1">VLOOKUP(O10,Score!$B$2:$X$71,23,0)</f>
        <v>51.002726020143179</v>
      </c>
      <c r="Q10" s="304" t="str">
        <f>IJff!C10</f>
        <v>Sanchez</v>
      </c>
      <c r="R10" s="299">
        <f ca="1">VLOOKUP(Q10,Score!$B$2:$X$71,23,0)</f>
        <v>44.049657256064187</v>
      </c>
      <c r="S10" s="306" t="str">
        <f>City!C10</f>
        <v>Goss</v>
      </c>
      <c r="T10" s="299">
        <f ca="1">VLOOKUP(S10,Score!$B$2:$X$71,23,0)</f>
        <v>244.03859848521671</v>
      </c>
      <c r="U10" s="305" t="str">
        <f>Gran!C10</f>
        <v>Vanendert</v>
      </c>
      <c r="V10" s="299">
        <f ca="1">VLOOKUP(U10,Score!$B$2:$X$71,23,0)</f>
        <v>30.052996875907116</v>
      </c>
    </row>
    <row r="11" spans="1:22" s="37" customFormat="1">
      <c r="A11" s="37" t="str">
        <f>Lothar!C11</f>
        <v>Kittel</v>
      </c>
      <c r="B11" s="299">
        <f ca="1">VLOOKUP(A11,Score!$B$2:$X$71,23,0)</f>
        <v>7.3960276948728351E-2</v>
      </c>
      <c r="C11" s="303" t="str">
        <f>SVU!C11</f>
        <v>GREIPEL</v>
      </c>
      <c r="D11" s="299">
        <f ca="1">VLOOKUP(C11,Score!$B$2:$X$71,23,0)</f>
        <v>276.00841537130151</v>
      </c>
      <c r="E11" s="304" t="str">
        <f>Mahawong!C11</f>
        <v>Boasson Hagen</v>
      </c>
      <c r="F11" s="299">
        <f ca="1">VLOOKUP(E11,Score!$B$2:$X$71,23,0)</f>
        <v>210.04929363594169</v>
      </c>
      <c r="G11" s="305" t="str">
        <f>Winner!C11</f>
        <v>Brajkovic</v>
      </c>
      <c r="H11" s="299">
        <f ca="1">VLOOKUP(G11,Score!$B$2:$X$71,23,0)</f>
        <v>155.09367147352216</v>
      </c>
      <c r="I11" s="304" t="str">
        <f>Selfkant!C11</f>
        <v>Kittel</v>
      </c>
      <c r="J11" s="299">
        <f ca="1">VLOOKUP(I11,Score!$B$2:$X$71,23,0)</f>
        <v>7.3960276948728351E-2</v>
      </c>
      <c r="K11" s="305" t="str">
        <f>Lange!C11</f>
        <v>Wiggins</v>
      </c>
      <c r="L11" s="299">
        <f ca="1">VLOOKUP(K11,Score!$B$2:$X$71,23,0)</f>
        <v>499.01818839232175</v>
      </c>
      <c r="M11" s="304" t="str">
        <f>Ode!C11</f>
        <v>Greipel</v>
      </c>
      <c r="N11" s="299">
        <f ca="1">VLOOKUP(M11,Score!$B$2:$X$71,23,0)</f>
        <v>276.00841537130151</v>
      </c>
      <c r="O11" s="304" t="str">
        <f>Ami!C11</f>
        <v>taaramae</v>
      </c>
      <c r="P11" s="299">
        <f ca="1">VLOOKUP(O11,Score!$B$2:$X$71,23,0)</f>
        <v>47.094909672091077</v>
      </c>
      <c r="Q11" s="304" t="str">
        <f>IJff!C11</f>
        <v>Sagan</v>
      </c>
      <c r="R11" s="299">
        <f ca="1">VLOOKUP(Q11,Score!$B$2:$X$71,23,0)</f>
        <v>420.09516070075659</v>
      </c>
      <c r="S11" s="306" t="str">
        <f>City!C11</f>
        <v>Greipel</v>
      </c>
      <c r="T11" s="299">
        <f ca="1">VLOOKUP(S11,Score!$B$2:$X$71,23,0)</f>
        <v>276.00841537130151</v>
      </c>
      <c r="U11" s="305" t="str">
        <f>Gran!C11</f>
        <v>Van den broeck</v>
      </c>
      <c r="V11" s="299">
        <f ca="1">VLOOKUP(U11,Score!$B$2:$X$71,23,0)</f>
        <v>196.02644451917828</v>
      </c>
    </row>
    <row r="12" spans="1:22" s="37" customFormat="1">
      <c r="A12" s="37" t="str">
        <f>Lothar!C12</f>
        <v>Farrar</v>
      </c>
      <c r="B12" s="299">
        <f ca="1">VLOOKUP(A12,Score!$B$2:$X$71,23,0)</f>
        <v>69.004325144389838</v>
      </c>
      <c r="C12" s="303" t="str">
        <f>SVU!C12</f>
        <v>ROJAS</v>
      </c>
      <c r="D12" s="299">
        <f ca="1">VLOOKUP(C12,Score!$B$2:$X$71,23,0)</f>
        <v>15.088807891585148</v>
      </c>
      <c r="E12" s="304" t="str">
        <f>Mahawong!C12</f>
        <v>Valverde</v>
      </c>
      <c r="F12" s="299">
        <f ca="1">VLOOKUP(E12,Score!$B$2:$X$71,23,0)</f>
        <v>76.03443225662204</v>
      </c>
      <c r="G12" s="305" t="str">
        <f>Winner!C12</f>
        <v>Nibali</v>
      </c>
      <c r="H12" s="299">
        <f ca="1">VLOOKUP(G12,Score!$B$2:$X$71,23,0)</f>
        <v>351.01312799751599</v>
      </c>
      <c r="I12" s="304" t="str">
        <f>Selfkant!C12</f>
        <v>Greipel</v>
      </c>
      <c r="J12" s="299">
        <f ca="1">VLOOKUP(I12,Score!$B$2:$X$71,23,0)</f>
        <v>276.00841537130151</v>
      </c>
      <c r="K12" s="305" t="str">
        <f>Lange!C12</f>
        <v>Cavendish</v>
      </c>
      <c r="L12" s="299">
        <f ca="1">VLOOKUP(K12,Score!$B$2:$X$71,23,0)</f>
        <v>168.03429230060215</v>
      </c>
      <c r="M12" s="304" t="str">
        <f>Ode!C12</f>
        <v>Boasson Hagen</v>
      </c>
      <c r="N12" s="299">
        <f ca="1">VLOOKUP(M12,Score!$B$2:$X$71,23,0)</f>
        <v>210.04929363594169</v>
      </c>
      <c r="O12" s="304" t="str">
        <f>Ami!C12</f>
        <v>Wiggins</v>
      </c>
      <c r="P12" s="299">
        <f ca="1">VLOOKUP(O12,Score!$B$2:$X$71,23,0)</f>
        <v>499.01818839232175</v>
      </c>
      <c r="Q12" s="304" t="str">
        <f>IJff!C12</f>
        <v>Wiggins</v>
      </c>
      <c r="R12" s="299">
        <f ca="1">VLOOKUP(Q12,Score!$B$2:$X$71,23,0)</f>
        <v>499.01818839232175</v>
      </c>
      <c r="S12" s="306" t="str">
        <f>City!C12</f>
        <v>Hesjedal</v>
      </c>
      <c r="T12" s="299">
        <f ca="1">VLOOKUP(S12,Score!$B$2:$X$71,23,0)</f>
        <v>51.002726020143179</v>
      </c>
      <c r="U12" s="305" t="str">
        <f>Gran!C12</f>
        <v>Mollema</v>
      </c>
      <c r="V12" s="299">
        <f ca="1">VLOOKUP(U12,Score!$B$2:$X$71,23,0)</f>
        <v>54.021480097178738</v>
      </c>
    </row>
    <row r="13" spans="1:22" s="37" customFormat="1">
      <c r="A13" s="37" t="str">
        <f>Lothar!C13</f>
        <v>Rojas</v>
      </c>
      <c r="B13" s="299">
        <f ca="1">VLOOKUP(A13,Score!$B$2:$X$71,23,0)</f>
        <v>15.088807891585148</v>
      </c>
      <c r="C13" s="303" t="str">
        <f>SVU!C13</f>
        <v>VALVERDE</v>
      </c>
      <c r="D13" s="299">
        <f ca="1">VLOOKUP(C13,Score!$B$2:$X$71,23,0)</f>
        <v>76.03443225662204</v>
      </c>
      <c r="E13" s="304" t="str">
        <f>Mahawong!C13</f>
        <v>Cavendish</v>
      </c>
      <c r="F13" s="299">
        <f ca="1">VLOOKUP(E13,Score!$B$2:$X$71,23,0)</f>
        <v>168.03429230060215</v>
      </c>
      <c r="G13" s="305" t="str">
        <f>Winner!C13</f>
        <v>Taaramae</v>
      </c>
      <c r="H13" s="299">
        <f ca="1">VLOOKUP(G13,Score!$B$2:$X$71,23,0)</f>
        <v>47.094909672091077</v>
      </c>
      <c r="I13" s="304" t="str">
        <f>Selfkant!C13</f>
        <v>Rojas</v>
      </c>
      <c r="J13" s="299">
        <f ca="1">VLOOKUP(I13,Score!$B$2:$X$71,23,0)</f>
        <v>15.088807891585148</v>
      </c>
      <c r="K13" s="305" t="str">
        <f>Lange!C13</f>
        <v>Boasson Hagen</v>
      </c>
      <c r="L13" s="299">
        <f ca="1">VLOOKUP(K13,Score!$B$2:$X$71,23,0)</f>
        <v>210.04929363594169</v>
      </c>
      <c r="M13" s="304" t="str">
        <f>Ode!C13</f>
        <v>Hesjedal</v>
      </c>
      <c r="N13" s="299">
        <f ca="1">VLOOKUP(M13,Score!$B$2:$X$71,23,0)</f>
        <v>51.002726020143179</v>
      </c>
      <c r="O13" s="304" t="str">
        <f>Ami!C13</f>
        <v>Boasson Hagen</v>
      </c>
      <c r="P13" s="299">
        <f ca="1">VLOOKUP(O13,Score!$B$2:$X$71,23,0)</f>
        <v>210.04929363594169</v>
      </c>
      <c r="Q13" s="304" t="str">
        <f>IJff!C13</f>
        <v>Boasson Hagen</v>
      </c>
      <c r="R13" s="299">
        <f ca="1">VLOOKUP(Q13,Score!$B$2:$X$71,23,0)</f>
        <v>210.04929363594169</v>
      </c>
      <c r="S13" s="306" t="str">
        <f>City!C13</f>
        <v>Kittel</v>
      </c>
      <c r="T13" s="299">
        <f ca="1">VLOOKUP(S13,Score!$B$2:$X$71,23,0)</f>
        <v>7.3960276948728351E-2</v>
      </c>
      <c r="U13" s="305" t="str">
        <f>Gran!C13</f>
        <v>Rojas</v>
      </c>
      <c r="V13" s="299">
        <f ca="1">VLOOKUP(U13,Score!$B$2:$X$71,23,0)</f>
        <v>15.088807891585148</v>
      </c>
    </row>
    <row r="14" spans="1:22" s="37" customFormat="1">
      <c r="A14" s="37" t="str">
        <f>Lothar!C14</f>
        <v>Goss</v>
      </c>
      <c r="B14" s="299">
        <f ca="1">VLOOKUP(A14,Score!$B$2:$X$71,23,0)</f>
        <v>244.03859848521671</v>
      </c>
      <c r="C14" s="303" t="str">
        <f>SVU!C14</f>
        <v>GOSS</v>
      </c>
      <c r="D14" s="299">
        <f ca="1">VLOOKUP(C14,Score!$B$2:$X$71,23,0)</f>
        <v>244.03859848521671</v>
      </c>
      <c r="E14" s="304" t="str">
        <f>Mahawong!C14</f>
        <v>Voeckler</v>
      </c>
      <c r="F14" s="299">
        <f ca="1">VLOOKUP(E14,Score!$B$2:$X$71,23,0)</f>
        <v>129.0386807353191</v>
      </c>
      <c r="G14" s="305" t="str">
        <f>Winner!C14</f>
        <v>Menchov</v>
      </c>
      <c r="H14" s="299">
        <f ca="1">VLOOKUP(G14,Score!$B$2:$X$71,23,0)</f>
        <v>150.05723093701624</v>
      </c>
      <c r="I14" s="304" t="str">
        <f>Selfkant!C14</f>
        <v>Boasson Hagen</v>
      </c>
      <c r="J14" s="299">
        <f ca="1">VLOOKUP(I14,Score!$B$2:$X$71,23,0)</f>
        <v>210.04929363594169</v>
      </c>
      <c r="K14" s="305" t="str">
        <f>Lange!C14</f>
        <v>Voeckler</v>
      </c>
      <c r="L14" s="299">
        <f ca="1">VLOOKUP(K14,Score!$B$2:$X$71,23,0)</f>
        <v>129.0386807353191</v>
      </c>
      <c r="M14" s="304" t="str">
        <f>Ode!C14</f>
        <v>Martin</v>
      </c>
      <c r="N14" s="299">
        <f ca="1">VLOOKUP(M14,Score!$B$2:$X$71,23,0)</f>
        <v>14.081791760144158</v>
      </c>
      <c r="O14" s="304" t="str">
        <f>Ami!C14</f>
        <v>Greipel</v>
      </c>
      <c r="P14" s="299">
        <f ca="1">VLOOKUP(O14,Score!$B$2:$X$71,23,0)</f>
        <v>276.00841537130151</v>
      </c>
      <c r="Q14" s="304" t="str">
        <f>IJff!C14</f>
        <v>Cavendish</v>
      </c>
      <c r="R14" s="299">
        <f ca="1">VLOOKUP(Q14,Score!$B$2:$X$71,23,0)</f>
        <v>168.03429230060215</v>
      </c>
      <c r="S14" s="306" t="str">
        <f>City!C14</f>
        <v>Martin</v>
      </c>
      <c r="T14" s="299">
        <f ca="1">VLOOKUP(S14,Score!$B$2:$X$71,23,0)</f>
        <v>14.081791760144158</v>
      </c>
      <c r="U14" s="305" t="str">
        <f>Gran!C14</f>
        <v>Valverde</v>
      </c>
      <c r="V14" s="299">
        <f ca="1">VLOOKUP(U14,Score!$B$2:$X$71,23,0)</f>
        <v>76.03443225662204</v>
      </c>
    </row>
    <row r="15" spans="1:22" s="37" customFormat="1">
      <c r="A15" s="37" t="str">
        <f>Lothar!C15</f>
        <v>Menchov</v>
      </c>
      <c r="B15" s="299">
        <f ca="1">VLOOKUP(A15,Score!$B$2:$X$71,23,0)</f>
        <v>150.05723093701624</v>
      </c>
      <c r="C15" s="303" t="str">
        <f>SVU!C15</f>
        <v>GESINK</v>
      </c>
      <c r="D15" s="299">
        <f ca="1">VLOOKUP(C15,Score!$B$2:$X$71,23,0)</f>
        <v>27.056902252550096</v>
      </c>
      <c r="E15" s="304" t="str">
        <f>Mahawong!C15</f>
        <v>Petacchi</v>
      </c>
      <c r="F15" s="299">
        <f ca="1">VLOOKUP(E15,Score!$B$2:$X$71,23,0)</f>
        <v>96.077681723540607</v>
      </c>
      <c r="G15" s="305" t="str">
        <f>Winner!C15</f>
        <v>Greipel</v>
      </c>
      <c r="H15" s="299">
        <f ca="1">VLOOKUP(G15,Score!$B$2:$X$71,23,0)</f>
        <v>276.00841537130151</v>
      </c>
      <c r="I15" s="304" t="str">
        <f>Selfkant!C15</f>
        <v>Rolland</v>
      </c>
      <c r="J15" s="299">
        <f ca="1">VLOOKUP(I15,Score!$B$2:$X$71,23,0)</f>
        <v>165.02067490607044</v>
      </c>
      <c r="K15" s="305" t="str">
        <f>Lange!C15</f>
        <v>Kittel</v>
      </c>
      <c r="L15" s="299">
        <f ca="1">VLOOKUP(K15,Score!$B$2:$X$71,23,0)</f>
        <v>7.3960276948728351E-2</v>
      </c>
      <c r="M15" s="304" t="str">
        <f>Ode!C15</f>
        <v>Rojas</v>
      </c>
      <c r="N15" s="299">
        <f ca="1">VLOOKUP(M15,Score!$B$2:$X$71,23,0)</f>
        <v>15.088807891585148</v>
      </c>
      <c r="O15" s="304" t="str">
        <f>Ami!C15</f>
        <v>Cavendish</v>
      </c>
      <c r="P15" s="299">
        <f ca="1">VLOOKUP(O15,Score!$B$2:$X$71,23,0)</f>
        <v>168.03429230060215</v>
      </c>
      <c r="Q15" s="304" t="str">
        <f>IJff!C15</f>
        <v>van den Broeck</v>
      </c>
      <c r="R15" s="299">
        <f ca="1">VLOOKUP(Q15,Score!$B$2:$X$71,23,0)</f>
        <v>196.02644451917828</v>
      </c>
      <c r="S15" s="306" t="str">
        <f>City!C15</f>
        <v>Nibali</v>
      </c>
      <c r="T15" s="299">
        <f ca="1">VLOOKUP(S15,Score!$B$2:$X$71,23,0)</f>
        <v>351.01312799751599</v>
      </c>
      <c r="U15" s="305" t="str">
        <f>Gran!C15</f>
        <v>Velits</v>
      </c>
      <c r="V15" s="299">
        <f ca="1">VLOOKUP(U15,Score!$B$2:$X$71,23,0)</f>
        <v>125.04896283040587</v>
      </c>
    </row>
    <row r="16" spans="1:22" s="37" customFormat="1">
      <c r="A16" s="37" t="str">
        <f>Lothar!C16</f>
        <v>Gerrans</v>
      </c>
      <c r="B16" s="299">
        <f ca="1">VLOOKUP(A16,Score!$B$2:$X$71,23,0)</f>
        <v>13.020392163981901</v>
      </c>
      <c r="C16" s="303" t="str">
        <f>SVU!C16</f>
        <v>CANCELLARA</v>
      </c>
      <c r="D16" s="299">
        <f ca="1">VLOOKUP(C16,Score!$B$2:$X$71,23,0)</f>
        <v>208.0560088119135</v>
      </c>
      <c r="E16" s="304" t="str">
        <f>Mahawong!C16</f>
        <v>Rojas</v>
      </c>
      <c r="F16" s="299">
        <f ca="1">VLOOKUP(E16,Score!$B$2:$X$71,23,0)</f>
        <v>15.088807891585148</v>
      </c>
      <c r="G16" s="305" t="str">
        <f>Winner!C16</f>
        <v>Farrar</v>
      </c>
      <c r="H16" s="299">
        <f ca="1">VLOOKUP(G16,Score!$B$2:$X$71,23,0)</f>
        <v>69.004325144389838</v>
      </c>
      <c r="I16" s="304" t="str">
        <f>Selfkant!C16</f>
        <v>Goss</v>
      </c>
      <c r="J16" s="299">
        <f ca="1">VLOOKUP(I16,Score!$B$2:$X$71,23,0)</f>
        <v>244.03859848521671</v>
      </c>
      <c r="K16" s="305" t="str">
        <f>Lange!C16</f>
        <v>Cooke</v>
      </c>
      <c r="L16" s="299">
        <f ca="1">VLOOKUP(K16,Score!$B$2:$X$71,23,0)</f>
        <v>6.0385900442030335E-2</v>
      </c>
      <c r="M16" s="304" t="str">
        <f>Ode!C16</f>
        <v>Sagan</v>
      </c>
      <c r="N16" s="299">
        <f ca="1">VLOOKUP(M16,Score!$B$2:$X$71,23,0)</f>
        <v>420.09516070075659</v>
      </c>
      <c r="O16" s="304" t="str">
        <f>Ami!C16</f>
        <v>Van den Broeck</v>
      </c>
      <c r="P16" s="299">
        <f ca="1">VLOOKUP(O16,Score!$B$2:$X$71,23,0)</f>
        <v>196.02644451917828</v>
      </c>
      <c r="Q16" s="304" t="str">
        <f>IJff!C16</f>
        <v>Westra</v>
      </c>
      <c r="R16" s="299">
        <f ca="1">VLOOKUP(Q16,Score!$B$2:$X$71,23,0)</f>
        <v>9.0170346901431255</v>
      </c>
      <c r="S16" s="306" t="str">
        <f>City!C16</f>
        <v>Sagan</v>
      </c>
      <c r="T16" s="299">
        <f ca="1">VLOOKUP(S16,Score!$B$2:$X$71,23,0)</f>
        <v>420.09516070075659</v>
      </c>
      <c r="U16" s="305" t="str">
        <f>Gran!C16</f>
        <v>Kittel</v>
      </c>
      <c r="V16" s="299">
        <f ca="1">VLOOKUP(U16,Score!$B$2:$X$71,23,0)</f>
        <v>7.3960276948728351E-2</v>
      </c>
    </row>
    <row r="17" spans="1:22" s="37" customFormat="1">
      <c r="A17" s="37" t="str">
        <f>Lothar!C17</f>
        <v>Taaramae</v>
      </c>
      <c r="B17" s="299">
        <f ca="1">VLOOKUP(A17,Score!$B$2:$X$71,23,0)</f>
        <v>47.094909672091077</v>
      </c>
      <c r="C17" s="303" t="str">
        <f>SVU!C17</f>
        <v>CAVENDISH</v>
      </c>
      <c r="D17" s="299">
        <f ca="1">VLOOKUP(C17,Score!$B$2:$X$71,23,0)</f>
        <v>168.03429230060215</v>
      </c>
      <c r="E17" s="304" t="str">
        <f>Mahawong!C17</f>
        <v>Taaramae</v>
      </c>
      <c r="F17" s="299">
        <f ca="1">VLOOKUP(E17,Score!$B$2:$X$71,23,0)</f>
        <v>47.094909672091077</v>
      </c>
      <c r="G17" s="305" t="str">
        <f>Winner!C17</f>
        <v>Sagan</v>
      </c>
      <c r="H17" s="299">
        <f ca="1">VLOOKUP(G17,Score!$B$2:$X$71,23,0)</f>
        <v>420.09516070075659</v>
      </c>
      <c r="I17" s="304" t="str">
        <f>Selfkant!C17</f>
        <v>Farrar</v>
      </c>
      <c r="J17" s="299">
        <f ca="1">VLOOKUP(I17,Score!$B$2:$X$71,23,0)</f>
        <v>69.004325144389838</v>
      </c>
      <c r="K17" s="305" t="str">
        <f>Lange!C17</f>
        <v>Greipel</v>
      </c>
      <c r="L17" s="299">
        <f ca="1">VLOOKUP(K17,Score!$B$2:$X$71,23,0)</f>
        <v>276.00841537130151</v>
      </c>
      <c r="M17" s="304" t="str">
        <f>Ode!C17</f>
        <v>Sanchez</v>
      </c>
      <c r="N17" s="299">
        <f ca="1">VLOOKUP(M17,Score!$B$2:$X$71,23,0)</f>
        <v>44.049657256064187</v>
      </c>
      <c r="O17" s="304" t="str">
        <f>Ami!C17</f>
        <v>Valverde</v>
      </c>
      <c r="P17" s="299">
        <f ca="1">VLOOKUP(O17,Score!$B$2:$X$71,23,0)</f>
        <v>76.03443225662204</v>
      </c>
      <c r="Q17" s="304" t="str">
        <f>IJff!C17</f>
        <v>Menchov</v>
      </c>
      <c r="R17" s="299">
        <f ca="1">VLOOKUP(Q17,Score!$B$2:$X$71,23,0)</f>
        <v>150.05723093701624</v>
      </c>
      <c r="S17" s="306" t="str">
        <f>City!C17</f>
        <v>Sanchez</v>
      </c>
      <c r="T17" s="299">
        <f ca="1">VLOOKUP(S17,Score!$B$2:$X$71,23,0)</f>
        <v>44.049657256064187</v>
      </c>
      <c r="U17" s="305" t="str">
        <f>Gran!C17</f>
        <v>Cavendish</v>
      </c>
      <c r="V17" s="299">
        <f ca="1">VLOOKUP(U17,Score!$B$2:$X$71,23,0)</f>
        <v>168.03429230060215</v>
      </c>
    </row>
    <row r="18" spans="1:22" s="37" customFormat="1">
      <c r="A18" s="37" t="str">
        <f>Lothar!C18</f>
        <v>Evans</v>
      </c>
      <c r="B18" s="299">
        <f ca="1">VLOOKUP(A18,Score!$B$2:$X$71,23,0)</f>
        <v>332.07018571306276</v>
      </c>
      <c r="C18" s="303" t="str">
        <f>SVU!C18</f>
        <v>FROOME</v>
      </c>
      <c r="D18" s="299">
        <f ca="1">VLOOKUP(C18,Score!$B$2:$X$71,23,0)</f>
        <v>363.08386656367674</v>
      </c>
      <c r="E18" s="304" t="str">
        <f>Mahawong!C18</f>
        <v>Danielson</v>
      </c>
      <c r="F18" s="299">
        <f ca="1">VLOOKUP(E18,Score!$B$2:$X$71,23,0)</f>
        <v>7.8032900483059636E-2</v>
      </c>
      <c r="G18" s="305" t="str">
        <f>Winner!C18</f>
        <v>Kittel</v>
      </c>
      <c r="H18" s="299">
        <f ca="1">VLOOKUP(G18,Score!$B$2:$X$71,23,0)</f>
        <v>7.3960276948728351E-2</v>
      </c>
      <c r="I18" s="304" t="str">
        <f>Selfkant!C18</f>
        <v>Menchov</v>
      </c>
      <c r="J18" s="299">
        <f ca="1">VLOOKUP(I18,Score!$B$2:$X$71,23,0)</f>
        <v>150.05723093701624</v>
      </c>
      <c r="K18" s="305" t="str">
        <f>Lange!C18</f>
        <v>Cancellara</v>
      </c>
      <c r="L18" s="299">
        <f ca="1">VLOOKUP(K18,Score!$B$2:$X$71,23,0)</f>
        <v>208.0560088119135</v>
      </c>
      <c r="M18" s="304" t="str">
        <f>Ode!C18</f>
        <v>Schleck</v>
      </c>
      <c r="N18" s="299">
        <f ca="1">VLOOKUP(M18,Score!$B$2:$X$71,23,0)</f>
        <v>52.004242049186956</v>
      </c>
      <c r="O18" s="304" t="str">
        <f>Ami!C18</f>
        <v>Cobo Acebo</v>
      </c>
      <c r="P18" s="299">
        <f ca="1">VLOOKUP(O18,Score!$B$2:$X$71,23,0)</f>
        <v>16.090041268473282</v>
      </c>
      <c r="Q18" s="304" t="str">
        <f>IJff!C18</f>
        <v>Valverde</v>
      </c>
      <c r="R18" s="299">
        <f ca="1">VLOOKUP(Q18,Score!$B$2:$X$71,23,0)</f>
        <v>76.03443225662204</v>
      </c>
      <c r="S18" s="306" t="str">
        <f>City!C18</f>
        <v>Schleck</v>
      </c>
      <c r="T18" s="299">
        <f ca="1">VLOOKUP(S18,Score!$B$2:$X$71,23,0)</f>
        <v>52.004242049186956</v>
      </c>
      <c r="U18" s="305" t="str">
        <f>Gran!C18</f>
        <v>Martin</v>
      </c>
      <c r="V18" s="299">
        <f ca="1">VLOOKUP(U18,Score!$B$2:$X$71,23,0)</f>
        <v>14.081791760144158</v>
      </c>
    </row>
    <row r="19" spans="1:22" s="37" customFormat="1">
      <c r="A19" s="37" t="str">
        <f>Lothar!C19</f>
        <v>Wiggins</v>
      </c>
      <c r="B19" s="299">
        <f ca="1">VLOOKUP(A19,Score!$B$2:$X$71,23,0)</f>
        <v>499.01818839232175</v>
      </c>
      <c r="C19" s="303" t="str">
        <f>SVU!C19</f>
        <v>BOASSON HAGEN</v>
      </c>
      <c r="D19" s="299">
        <f ca="1">VLOOKUP(C19,Score!$B$2:$X$71,23,0)</f>
        <v>210.04929363594169</v>
      </c>
      <c r="E19" s="304" t="str">
        <f>Mahawong!C19</f>
        <v>Greipel</v>
      </c>
      <c r="F19" s="299">
        <f ca="1">VLOOKUP(E19,Score!$B$2:$X$71,23,0)</f>
        <v>276.00841537130151</v>
      </c>
      <c r="G19" s="305" t="str">
        <f>Winner!C19</f>
        <v>Rojas</v>
      </c>
      <c r="H19" s="299">
        <f ca="1">VLOOKUP(G19,Score!$B$2:$X$71,23,0)</f>
        <v>15.088807891585148</v>
      </c>
      <c r="I19" s="304" t="str">
        <f>Selfkant!C19</f>
        <v>Gilbert</v>
      </c>
      <c r="J19" s="299">
        <f ca="1">VLOOKUP(I19,Score!$B$2:$X$71,23,0)</f>
        <v>95.029901451657864</v>
      </c>
      <c r="K19" s="305" t="str">
        <f>Lange!C19</f>
        <v>van den Broeck</v>
      </c>
      <c r="L19" s="299">
        <f ca="1">VLOOKUP(K19,Score!$B$2:$X$71,23,0)</f>
        <v>196.02644451917828</v>
      </c>
      <c r="M19" s="304" t="str">
        <f>Ode!C19</f>
        <v>Van den Broeck</v>
      </c>
      <c r="N19" s="299">
        <f ca="1">VLOOKUP(M19,Score!$B$2:$X$71,23,0)</f>
        <v>196.02644451917828</v>
      </c>
      <c r="O19" s="304" t="str">
        <f>Ami!C19</f>
        <v>Brajkovic</v>
      </c>
      <c r="P19" s="299">
        <f ca="1">VLOOKUP(O19,Score!$B$2:$X$71,23,0)</f>
        <v>155.09367147352216</v>
      </c>
      <c r="Q19" s="304" t="str">
        <f>IJff!C19</f>
        <v>Kittel</v>
      </c>
      <c r="R19" s="299">
        <f ca="1">VLOOKUP(Q19,Score!$B$2:$X$71,23,0)</f>
        <v>7.3960276948728351E-2</v>
      </c>
      <c r="S19" s="306" t="str">
        <f>City!C19</f>
        <v>Van den Broeck</v>
      </c>
      <c r="T19" s="299">
        <f ca="1">VLOOKUP(S19,Score!$B$2:$X$71,23,0)</f>
        <v>196.02644451917828</v>
      </c>
      <c r="U19" s="305" t="str">
        <f>Gran!C19</f>
        <v>Boasson Hagen</v>
      </c>
      <c r="V19" s="299">
        <f ca="1">VLOOKUP(U19,Score!$B$2:$X$71,23,0)</f>
        <v>210.04929363594169</v>
      </c>
    </row>
    <row r="20" spans="1:22" s="37" customFormat="1">
      <c r="A20" s="37" t="str">
        <f>Lothar!C20</f>
        <v>Valverde</v>
      </c>
      <c r="B20" s="299">
        <f ca="1">VLOOKUP(A20,Score!$B$2:$X$71,23,0)</f>
        <v>76.03443225662204</v>
      </c>
      <c r="C20" s="303" t="str">
        <f>SVU!C20</f>
        <v>WIGGINS</v>
      </c>
      <c r="D20" s="299">
        <f ca="1">VLOOKUP(C20,Score!$B$2:$X$71,23,0)</f>
        <v>499.01818839232175</v>
      </c>
      <c r="E20" s="304" t="str">
        <f>Mahawong!C20</f>
        <v>Wiggins</v>
      </c>
      <c r="F20" s="299">
        <f ca="1">VLOOKUP(E20,Score!$B$2:$X$71,23,0)</f>
        <v>499.01818839232175</v>
      </c>
      <c r="G20" s="305" t="str">
        <f>Winner!C20</f>
        <v>Goss</v>
      </c>
      <c r="H20" s="299">
        <f ca="1">VLOOKUP(G20,Score!$B$2:$X$71,23,0)</f>
        <v>244.03859848521671</v>
      </c>
      <c r="I20" s="304" t="str">
        <f>Selfkant!C20</f>
        <v>Van den Broeck</v>
      </c>
      <c r="J20" s="299">
        <f ca="1">VLOOKUP(I20,Score!$B$2:$X$71,23,0)</f>
        <v>196.02644451917828</v>
      </c>
      <c r="K20" s="305" t="str">
        <f>Lange!C20</f>
        <v>Martin</v>
      </c>
      <c r="L20" s="299">
        <f ca="1">VLOOKUP(K20,Score!$B$2:$X$71,23,0)</f>
        <v>14.081791760144158</v>
      </c>
      <c r="M20" s="304" t="str">
        <f>Ode!C20</f>
        <v>Wiggins</v>
      </c>
      <c r="N20" s="299">
        <f ca="1">VLOOKUP(M20,Score!$B$2:$X$71,23,0)</f>
        <v>499.01818839232175</v>
      </c>
      <c r="O20" s="304" t="str">
        <f>Ami!C20</f>
        <v>Martin</v>
      </c>
      <c r="P20" s="299">
        <f ca="1">VLOOKUP(O20,Score!$B$2:$X$71,23,0)</f>
        <v>14.081791760144158</v>
      </c>
      <c r="Q20" s="304" t="str">
        <f>IJff!C20</f>
        <v>Rojas</v>
      </c>
      <c r="R20" s="299">
        <f ca="1">VLOOKUP(Q20,Score!$B$2:$X$71,23,0)</f>
        <v>15.088807891585148</v>
      </c>
      <c r="S20" s="306" t="str">
        <f>City!C20</f>
        <v>Wiggins</v>
      </c>
      <c r="T20" s="299">
        <f ca="1">VLOOKUP(S20,Score!$B$2:$X$71,23,0)</f>
        <v>499.01818839232175</v>
      </c>
      <c r="U20" s="305" t="str">
        <f>Gran!C20</f>
        <v>Vinokourov</v>
      </c>
      <c r="V20" s="299">
        <f ca="1">VLOOKUP(U20,Score!$B$2:$X$71,23,0)</f>
        <v>24.030704328836315</v>
      </c>
    </row>
    <row r="21" spans="1:22">
      <c r="A21" s="40">
        <f>Lothar!C21</f>
        <v>0</v>
      </c>
      <c r="B21" s="299"/>
      <c r="C21" s="303">
        <f>SVU!C21</f>
        <v>0</v>
      </c>
      <c r="D21" s="299"/>
      <c r="E21" s="307">
        <f>Mahawong!C21</f>
        <v>0</v>
      </c>
      <c r="F21" s="299"/>
      <c r="G21" s="305">
        <f>Winner!C21</f>
        <v>0</v>
      </c>
      <c r="H21" s="299"/>
      <c r="I21" s="307">
        <f>Selfkant!C21</f>
        <v>0</v>
      </c>
      <c r="J21" s="299"/>
      <c r="K21" s="305">
        <f>Lange!C21</f>
        <v>0</v>
      </c>
      <c r="L21" s="299"/>
      <c r="M21" s="307">
        <f>Ode!C21</f>
        <v>0</v>
      </c>
      <c r="N21" s="299"/>
      <c r="O21" s="307">
        <f>Ami!C21</f>
        <v>0</v>
      </c>
      <c r="P21" s="299"/>
      <c r="Q21" s="307">
        <f>IJff!C21</f>
        <v>0</v>
      </c>
      <c r="R21" s="299"/>
      <c r="S21" s="306">
        <f>City!C21</f>
        <v>0</v>
      </c>
      <c r="T21" s="299"/>
      <c r="U21" s="306">
        <f>Gran!C21</f>
        <v>0</v>
      </c>
      <c r="V21" s="299"/>
    </row>
    <row r="22" spans="1:22" s="78" customFormat="1">
      <c r="A22" s="298">
        <f>Lothar!C22</f>
        <v>0</v>
      </c>
      <c r="B22" s="300">
        <f ca="1">SUM(B4:B21)</f>
        <v>2179.8652429354738</v>
      </c>
      <c r="C22" s="308">
        <f>SVU!C22</f>
        <v>0</v>
      </c>
      <c r="D22" s="300">
        <f ca="1">SUM(D4:D21)</f>
        <v>3458.848559939293</v>
      </c>
      <c r="E22" s="309">
        <f>Mahawong!C22</f>
        <v>0</v>
      </c>
      <c r="F22" s="300">
        <f ca="1">SUM(F4:F21)</f>
        <v>2187.8163620527102</v>
      </c>
      <c r="G22" s="310">
        <f>Winner!C22</f>
        <v>0</v>
      </c>
      <c r="H22" s="300">
        <f ca="1">SUM(H4:H21)</f>
        <v>2853.837532038855</v>
      </c>
      <c r="I22" s="309">
        <f>Selfkant!C22</f>
        <v>0</v>
      </c>
      <c r="J22" s="300">
        <f ca="1">SUM(J4:J21)</f>
        <v>3286.6825070288169</v>
      </c>
      <c r="K22" s="310">
        <f>Lange!C22</f>
        <v>0</v>
      </c>
      <c r="L22" s="300">
        <f ca="1">SUM(L4:L21)</f>
        <v>2983.7729684566748</v>
      </c>
      <c r="M22" s="309">
        <f>Ode!C22</f>
        <v>0</v>
      </c>
      <c r="N22" s="300">
        <f ca="1">SUM(N4:N21)</f>
        <v>2893.7360724039495</v>
      </c>
      <c r="O22" s="309">
        <f>Ami!C22</f>
        <v>0</v>
      </c>
      <c r="P22" s="300">
        <f ca="1">SUM(P4:P21)</f>
        <v>2721.8521601959651</v>
      </c>
      <c r="Q22" s="309">
        <f>IJff!C22</f>
        <v>0</v>
      </c>
      <c r="R22" s="300">
        <f ca="1">SUM(R4:R21)</f>
        <v>2768.7641965243906</v>
      </c>
      <c r="S22" s="306">
        <f>City!C22</f>
        <v>0</v>
      </c>
      <c r="T22" s="300">
        <f ca="1">SUM(T4:T21)</f>
        <v>3161.6833206872379</v>
      </c>
      <c r="U22" s="306">
        <f>Gran!C22</f>
        <v>0</v>
      </c>
      <c r="V22" s="300">
        <f ca="1">SUM(V4:V21)</f>
        <v>2484.8366927918592</v>
      </c>
    </row>
    <row r="23" spans="1:22" s="30" customFormat="1">
      <c r="A23" s="40">
        <f>Lothar!C23</f>
        <v>0</v>
      </c>
      <c r="B23" s="301"/>
      <c r="C23" s="303">
        <f>SVU!C23</f>
        <v>0</v>
      </c>
      <c r="D23" s="301"/>
      <c r="E23" s="307">
        <f>Mahawong!C23</f>
        <v>0</v>
      </c>
      <c r="F23" s="301"/>
      <c r="G23" s="305">
        <f>Winner!C23</f>
        <v>0</v>
      </c>
      <c r="H23" s="301"/>
      <c r="I23" s="307">
        <f>Selfkant!C23</f>
        <v>0</v>
      </c>
      <c r="J23" s="301"/>
      <c r="K23" s="305">
        <f>Lange!C23</f>
        <v>0</v>
      </c>
      <c r="L23" s="301"/>
      <c r="M23" s="307">
        <f>Ode!C23</f>
        <v>0</v>
      </c>
      <c r="N23" s="301"/>
      <c r="O23" s="307">
        <f>Ami!C23</f>
        <v>0</v>
      </c>
      <c r="P23" s="301"/>
      <c r="Q23" s="307">
        <f>IJff!C23</f>
        <v>0</v>
      </c>
      <c r="R23" s="301"/>
      <c r="S23" s="306">
        <f>City!C23</f>
        <v>0</v>
      </c>
      <c r="T23" s="301"/>
      <c r="U23" s="306">
        <f>Gran!C23</f>
        <v>0</v>
      </c>
      <c r="V23" s="301"/>
    </row>
    <row r="24" spans="1:22" s="40" customFormat="1">
      <c r="A24" s="40" t="str">
        <f>Lothar!C24</f>
        <v>Martin</v>
      </c>
      <c r="B24" s="302">
        <f ca="1">VLOOKUP(A24,Score!$B$2:$X$71,23,0)</f>
        <v>14.081791760144158</v>
      </c>
      <c r="C24" s="311" t="str">
        <f>SVU!C24</f>
        <v>FARRAR</v>
      </c>
      <c r="D24" s="302">
        <f ca="1">VLOOKUP(C24,Score!$B$2:$X$71,23,0)</f>
        <v>69.004325144389838</v>
      </c>
      <c r="E24" s="307" t="str">
        <f>Mahawong!C24</f>
        <v>Farrar</v>
      </c>
      <c r="F24" s="302">
        <f ca="1">VLOOKUP(E24,Score!$B$2:$X$71,23,0)</f>
        <v>69.004325144389838</v>
      </c>
      <c r="G24" s="312" t="str">
        <f>Winner!C24</f>
        <v>Cavendish</v>
      </c>
      <c r="H24" s="302">
        <f ca="1">VLOOKUP(G24,Score!$B$2:$X$71,23,0)</f>
        <v>168.03429230060215</v>
      </c>
      <c r="I24" s="307" t="str">
        <f>Selfkant!C24</f>
        <v>Martin</v>
      </c>
      <c r="J24" s="302">
        <f ca="1">VLOOKUP(I24,Score!$B$2:$X$71,23,0)</f>
        <v>14.081791760144158</v>
      </c>
      <c r="K24" s="312" t="str">
        <f>Lange!C24</f>
        <v>Hesjedal</v>
      </c>
      <c r="L24" s="302">
        <f ca="1">VLOOKUP(K24,Score!$B$2:$X$71,23,0)</f>
        <v>51.002726020143179</v>
      </c>
      <c r="M24" s="307" t="str">
        <f>Ode!C24</f>
        <v>L.L.</v>
      </c>
      <c r="N24" s="302">
        <f ca="1">VLOOKUP(M24,Score!$B$2:$X$71,23,0)</f>
        <v>109.05577635075116</v>
      </c>
      <c r="O24" s="307" t="str">
        <f>Ami!C24</f>
        <v>Cancellara</v>
      </c>
      <c r="P24" s="302">
        <f ca="1">VLOOKUP(O24,Score!$B$2:$X$71,23,0)</f>
        <v>208.0560088119135</v>
      </c>
      <c r="Q24" s="307" t="str">
        <f>IJff!C24</f>
        <v>Gesink</v>
      </c>
      <c r="R24" s="302">
        <f ca="1">VLOOKUP(Q24,Score!$B$2:$X$71,23,0)</f>
        <v>27.056902252550096</v>
      </c>
      <c r="S24" s="306" t="str">
        <f>City!C24</f>
        <v>Mollema</v>
      </c>
      <c r="T24" s="302">
        <f ca="1">VLOOKUP(S24,Score!$B$2:$X$71,23,0)</f>
        <v>54.021480097178738</v>
      </c>
      <c r="U24" s="305" t="str">
        <f>Gran!C24</f>
        <v>Taaramae</v>
      </c>
      <c r="V24" s="302">
        <f ca="1">VLOOKUP(U24,Score!$B$2:$X$71,23,0)</f>
        <v>47.094909672091077</v>
      </c>
    </row>
    <row r="25" spans="1:22" s="40" customFormat="1">
      <c r="A25" s="40" t="str">
        <f>Lothar!C25</f>
        <v>Cancellara</v>
      </c>
      <c r="B25" s="302">
        <f ca="1">VLOOKUP(A25,Score!$B$2:$X$71,23,0)</f>
        <v>208.0560088119135</v>
      </c>
      <c r="C25" s="311" t="str">
        <f>SVU!C25</f>
        <v>MARTIN</v>
      </c>
      <c r="D25" s="302">
        <f ca="1">VLOOKUP(C25,Score!$B$2:$X$71,23,0)</f>
        <v>14.081791760144158</v>
      </c>
      <c r="E25" s="307" t="str">
        <f>Mahawong!C25</f>
        <v>Froome</v>
      </c>
      <c r="F25" s="302">
        <f ca="1">VLOOKUP(E25,Score!$B$2:$X$71,23,0)</f>
        <v>363.08386656367674</v>
      </c>
      <c r="G25" s="312" t="str">
        <f>Winner!C25</f>
        <v>Sanchez</v>
      </c>
      <c r="H25" s="302">
        <f ca="1">VLOOKUP(G25,Score!$B$2:$X$71,23,0)</f>
        <v>44.049657256064187</v>
      </c>
      <c r="I25" s="307" t="str">
        <f>Selfkant!C25</f>
        <v>Cancellara</v>
      </c>
      <c r="J25" s="302">
        <f ca="1">VLOOKUP(I25,Score!$B$2:$X$71,23,0)</f>
        <v>208.0560088119135</v>
      </c>
      <c r="K25" s="312" t="str">
        <f>Lange!C25</f>
        <v>Gesink</v>
      </c>
      <c r="L25" s="302">
        <f ca="1">VLOOKUP(K25,Score!$B$2:$X$71,23,0)</f>
        <v>27.056902252550096</v>
      </c>
      <c r="M25" s="307" t="str">
        <f>Ode!C25</f>
        <v>Basso</v>
      </c>
      <c r="N25" s="302">
        <f ca="1">VLOOKUP(M25,Score!$B$2:$X$71,23,0)</f>
        <v>22.057007483883186</v>
      </c>
      <c r="O25" s="307" t="str">
        <f>Ami!C25</f>
        <v>Hoogerland</v>
      </c>
      <c r="P25" s="302">
        <f ca="1">VLOOKUP(O25,Score!$B$2:$X$71,23,0)</f>
        <v>4.953592998422076E-2</v>
      </c>
      <c r="Q25" s="307" t="str">
        <f>IJff!C25</f>
        <v>Kruijswijk</v>
      </c>
      <c r="R25" s="302">
        <f ca="1">VLOOKUP(Q25,Score!$B$2:$X$71,23,0)</f>
        <v>1.2755888952469619E-2</v>
      </c>
      <c r="S25" s="306" t="str">
        <f>City!C25</f>
        <v>Rojas</v>
      </c>
      <c r="T25" s="302">
        <f ca="1">VLOOKUP(S25,Score!$B$2:$X$71,23,0)</f>
        <v>15.088807891585148</v>
      </c>
      <c r="U25" s="305" t="str">
        <f>Gran!C25</f>
        <v>Schleck</v>
      </c>
      <c r="V25" s="302">
        <f ca="1">VLOOKUP(U25,Score!$B$2:$X$71,23,0)</f>
        <v>52.004242049186956</v>
      </c>
    </row>
    <row r="26" spans="1:22" s="40" customFormat="1">
      <c r="A26" s="40" t="str">
        <f>Lothar!C26</f>
        <v>Froome</v>
      </c>
      <c r="B26" s="302">
        <f ca="1">VLOOKUP(A26,Score!$B$2:$X$71,23,0)</f>
        <v>363.08386656367674</v>
      </c>
      <c r="C26" s="311" t="str">
        <f>SVU!C26</f>
        <v>DANIELSON</v>
      </c>
      <c r="D26" s="302">
        <f ca="1">VLOOKUP(C26,Score!$B$2:$X$71,23,0)</f>
        <v>7.8032900483059636E-2</v>
      </c>
      <c r="E26" s="307" t="str">
        <f>Mahawong!C26</f>
        <v>Martin</v>
      </c>
      <c r="F26" s="302">
        <f ca="1">VLOOKUP(E26,Score!$B$2:$X$71,23,0)</f>
        <v>14.081791760144158</v>
      </c>
      <c r="G26" s="312" t="str">
        <f>Winner!C26</f>
        <v>Cobo Acebo</v>
      </c>
      <c r="H26" s="302">
        <f ca="1">VLOOKUP(G26,Score!$B$2:$X$71,23,0)</f>
        <v>16.090041268473282</v>
      </c>
      <c r="I26" s="307" t="str">
        <f>Selfkant!C26</f>
        <v>Zabriskie</v>
      </c>
      <c r="J26" s="302">
        <f ca="1">VLOOKUP(I26,Score!$B$2:$X$71,23,0)</f>
        <v>6.1538044093284935E-2</v>
      </c>
      <c r="K26" s="312" t="str">
        <f>Lange!C26</f>
        <v>Vanendert</v>
      </c>
      <c r="L26" s="302">
        <f ca="1">VLOOKUP(K26,Score!$B$2:$X$71,23,0)</f>
        <v>30.052996875907116</v>
      </c>
      <c r="M26" s="307" t="str">
        <f>Ode!C26</f>
        <v>Roy</v>
      </c>
      <c r="N26" s="302">
        <f ca="1">VLOOKUP(M26,Score!$B$2:$X$71,23,0)</f>
        <v>3.2513345696250175E-2</v>
      </c>
      <c r="O26" s="307" t="str">
        <f>Ami!C26</f>
        <v>Kittel</v>
      </c>
      <c r="P26" s="302">
        <f ca="1">VLOOKUP(O26,Score!$B$2:$X$71,23,0)</f>
        <v>7.3960276948728351E-2</v>
      </c>
      <c r="Q26" s="307" t="str">
        <f>IJff!C26</f>
        <v>Goss</v>
      </c>
      <c r="R26" s="302">
        <f ca="1">VLOOKUP(Q26,Score!$B$2:$X$71,23,0)</f>
        <v>244.03859848521671</v>
      </c>
      <c r="S26" s="306" t="str">
        <f>City!C26</f>
        <v>Voeckler</v>
      </c>
      <c r="T26" s="302">
        <f ca="1">VLOOKUP(S26,Score!$B$2:$X$71,23,0)</f>
        <v>129.0386807353191</v>
      </c>
      <c r="U26" s="305" t="str">
        <f>Gran!C26</f>
        <v>Greipel</v>
      </c>
      <c r="V26" s="302">
        <f ca="1">VLOOKUP(U26,Score!$B$2:$X$71,23,0)</f>
        <v>276.00841537130151</v>
      </c>
    </row>
    <row r="27" spans="1:22" s="37" customFormat="1">
      <c r="A27" s="41"/>
      <c r="C27" s="43"/>
      <c r="D27" s="28"/>
      <c r="E27" s="61"/>
      <c r="G27" s="58"/>
      <c r="H27" s="28"/>
      <c r="I27" s="59"/>
      <c r="J27" s="28"/>
      <c r="K27" s="18"/>
      <c r="L27" s="28"/>
      <c r="M27" s="58"/>
      <c r="N27" s="28"/>
      <c r="O27" s="59"/>
      <c r="P27" s="28"/>
      <c r="Q27" s="59"/>
      <c r="R27" s="28"/>
      <c r="S27" s="58"/>
      <c r="T27" s="28"/>
      <c r="U27" s="73"/>
    </row>
    <row r="28" spans="1:22" s="88" customFormat="1">
      <c r="A28" s="89"/>
      <c r="C28" s="93"/>
      <c r="D28" s="87"/>
      <c r="E28" s="79"/>
      <c r="G28" s="89"/>
      <c r="H28" s="87"/>
      <c r="I28" s="90"/>
      <c r="J28" s="87"/>
      <c r="K28" s="79"/>
      <c r="L28" s="87"/>
      <c r="M28" s="92"/>
      <c r="N28" s="87"/>
      <c r="O28" s="79"/>
      <c r="P28" s="87"/>
      <c r="Q28" s="79"/>
      <c r="R28" s="87"/>
      <c r="S28" s="79"/>
      <c r="T28" s="87"/>
    </row>
    <row r="29" spans="1:22" s="37" customFormat="1" ht="13.5" thickBot="1">
      <c r="A29" s="41"/>
      <c r="C29" s="28"/>
      <c r="D29" s="28"/>
      <c r="E29" s="61"/>
      <c r="G29" s="58"/>
      <c r="H29" s="28"/>
      <c r="I29" s="61"/>
      <c r="J29" s="28"/>
      <c r="K29" s="59"/>
      <c r="L29" s="28"/>
      <c r="M29" s="72"/>
      <c r="N29" s="28"/>
      <c r="O29" s="61"/>
      <c r="P29" s="28"/>
      <c r="Q29" s="61"/>
      <c r="R29" s="28"/>
      <c r="S29" s="61"/>
      <c r="T29" s="28"/>
      <c r="U29" s="41"/>
    </row>
    <row r="30" spans="1:22">
      <c r="A30" s="100" t="s">
        <v>10</v>
      </c>
      <c r="B30" s="50"/>
      <c r="C30" s="32"/>
      <c r="E30" s="23"/>
      <c r="G30" s="28"/>
      <c r="I30" s="61"/>
      <c r="J30" s="28"/>
      <c r="K30" s="59"/>
      <c r="L30" s="28"/>
      <c r="M30" s="72"/>
      <c r="N30" s="28"/>
      <c r="S30" s="58"/>
      <c r="U30" s="41"/>
    </row>
    <row r="31" spans="1:22">
      <c r="A31" s="33" t="s">
        <v>11</v>
      </c>
      <c r="B31" s="51"/>
      <c r="C31" s="33"/>
      <c r="E31" s="61"/>
      <c r="G31" s="28"/>
      <c r="I31" s="59"/>
      <c r="J31" s="28"/>
      <c r="K31" s="45"/>
      <c r="L31" s="28"/>
      <c r="M31" s="62"/>
      <c r="N31" s="28"/>
      <c r="S31" s="58"/>
      <c r="U31" s="41"/>
    </row>
    <row r="32" spans="1:22">
      <c r="A32" s="34" t="s">
        <v>12</v>
      </c>
      <c r="B32" s="52"/>
      <c r="C32" s="34"/>
      <c r="E32" s="23"/>
      <c r="G32" s="28"/>
      <c r="I32" s="38"/>
      <c r="J32" s="28"/>
      <c r="K32" s="91"/>
      <c r="L32" s="28"/>
      <c r="N32" s="28"/>
      <c r="S32" s="43"/>
      <c r="U32" s="23"/>
    </row>
    <row r="33" spans="1:21">
      <c r="A33" s="35" t="s">
        <v>13</v>
      </c>
      <c r="B33" s="53"/>
      <c r="C33" s="35"/>
      <c r="E33" s="23"/>
      <c r="G33" s="28"/>
      <c r="I33" s="38"/>
      <c r="K33" s="69"/>
      <c r="L33" s="28"/>
      <c r="S33" s="43"/>
      <c r="U33" s="23"/>
    </row>
    <row r="34" spans="1:21" ht="13.5" thickBot="1">
      <c r="A34" s="36" t="s">
        <v>14</v>
      </c>
      <c r="B34" s="54"/>
      <c r="C34" s="36"/>
      <c r="E34" s="23"/>
      <c r="G34" s="28"/>
      <c r="I34" s="38"/>
      <c r="K34" s="69"/>
      <c r="L34" s="28"/>
      <c r="S34" s="43"/>
      <c r="U34" s="23"/>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enableFormatConditionsCalculation="0">
    <tabColor indexed="32"/>
  </sheetPr>
  <dimension ref="A1:CZ77"/>
  <sheetViews>
    <sheetView showGridLines="0" showZeros="0" zoomScale="80" zoomScaleNormal="80" workbookViewId="0">
      <pane xSplit="2" ySplit="1" topLeftCell="C14" activePane="bottomRight" state="frozen"/>
      <selection activeCell="H34" sqref="H34"/>
      <selection pane="topRight" activeCell="H34" sqref="H34"/>
      <selection pane="bottomLeft" activeCell="H34" sqref="H34"/>
      <selection pane="bottomRight" activeCell="AB29" sqref="AB29"/>
    </sheetView>
  </sheetViews>
  <sheetFormatPr defaultRowHeight="12.75"/>
  <cols>
    <col min="1" max="1" width="8" style="113" customWidth="1"/>
    <col min="2" max="2" width="13.85546875" style="47" customWidth="1"/>
    <col min="3" max="4" width="5.28515625" style="117" customWidth="1"/>
    <col min="5" max="5" width="5.28515625" style="120" customWidth="1"/>
    <col min="6" max="8" width="5.28515625" style="119" customWidth="1"/>
    <col min="9" max="17" width="5.28515625" style="117" customWidth="1"/>
    <col min="18" max="18" width="5.28515625" style="119" customWidth="1"/>
    <col min="19" max="20" width="5.28515625" style="117" customWidth="1"/>
    <col min="21" max="23" width="5.28515625" style="119" customWidth="1"/>
    <col min="24" max="24" width="5.28515625" style="200" customWidth="1"/>
    <col min="25" max="25" width="5.28515625" style="103" customWidth="1"/>
    <col min="26" max="26" width="5.7109375" style="48" customWidth="1"/>
    <col min="27" max="27" width="10.7109375" style="146" customWidth="1"/>
    <col min="28" max="28" width="5.85546875" style="146" customWidth="1"/>
    <col min="29" max="29" width="4.7109375" style="279" customWidth="1"/>
    <col min="30" max="30" width="17" style="104" customWidth="1"/>
    <col min="31" max="31" width="6.140625" style="104" customWidth="1"/>
    <col min="32" max="61" width="9.140625" style="104"/>
    <col min="62" max="104" width="9.140625" style="105"/>
    <col min="105" max="16384" width="9.140625" style="106"/>
  </cols>
  <sheetData>
    <row r="1" spans="1:104">
      <c r="A1" s="102"/>
      <c r="C1" s="130" t="s">
        <v>28</v>
      </c>
      <c r="D1" s="130">
        <v>1</v>
      </c>
      <c r="E1" s="130">
        <v>2</v>
      </c>
      <c r="F1" s="130">
        <v>3</v>
      </c>
      <c r="G1" s="130">
        <v>4</v>
      </c>
      <c r="H1" s="130">
        <v>5</v>
      </c>
      <c r="I1" s="130">
        <v>6</v>
      </c>
      <c r="J1" s="130">
        <v>7</v>
      </c>
      <c r="K1" s="130">
        <v>8</v>
      </c>
      <c r="L1" s="130">
        <v>9</v>
      </c>
      <c r="M1" s="130">
        <v>10</v>
      </c>
      <c r="N1" s="130">
        <v>11</v>
      </c>
      <c r="O1" s="130">
        <v>12</v>
      </c>
      <c r="P1" s="130">
        <v>13</v>
      </c>
      <c r="Q1" s="130">
        <v>14</v>
      </c>
      <c r="R1" s="130">
        <v>15</v>
      </c>
      <c r="S1" s="130">
        <v>16</v>
      </c>
      <c r="T1" s="130">
        <v>17</v>
      </c>
      <c r="U1" s="130">
        <v>18</v>
      </c>
      <c r="V1" s="130">
        <v>19</v>
      </c>
      <c r="W1" s="130">
        <v>20</v>
      </c>
      <c r="Y1" s="103" t="s">
        <v>1</v>
      </c>
      <c r="Z1" s="46"/>
      <c r="AA1" s="146" t="s">
        <v>91</v>
      </c>
      <c r="AB1" s="146" t="s">
        <v>112</v>
      </c>
    </row>
    <row r="2" spans="1:104" s="107" customFormat="1">
      <c r="A2" s="141"/>
      <c r="B2" s="142" t="s">
        <v>74</v>
      </c>
      <c r="C2" s="127"/>
      <c r="D2" s="127"/>
      <c r="E2" s="127"/>
      <c r="F2" s="127">
        <v>4</v>
      </c>
      <c r="G2" s="127">
        <v>4</v>
      </c>
      <c r="H2" s="127">
        <v>4</v>
      </c>
      <c r="I2" s="127">
        <v>4</v>
      </c>
      <c r="J2" s="127"/>
      <c r="K2" s="127"/>
      <c r="L2" s="127"/>
      <c r="M2" s="127"/>
      <c r="N2" s="127"/>
      <c r="O2" s="127"/>
      <c r="P2" s="127"/>
      <c r="Q2" s="127"/>
      <c r="R2" s="127"/>
      <c r="S2" s="127"/>
      <c r="T2" s="127">
        <v>6</v>
      </c>
      <c r="U2" s="127"/>
      <c r="V2" s="127"/>
      <c r="W2" s="127"/>
      <c r="X2" s="201">
        <f ca="1">SUM(C2:W2)+RAND()/10</f>
        <v>22.057007483883186</v>
      </c>
      <c r="Y2" s="128"/>
      <c r="Z2" s="204">
        <f t="shared" ref="Z2:Z22" ca="1" si="0">SUM(X2:Y2)</f>
        <v>22.057007483883186</v>
      </c>
      <c r="AA2" s="146">
        <f ca="1">COUNTIF(Teams!$4:$20,B2)</f>
        <v>1</v>
      </c>
      <c r="AB2" s="146">
        <f t="shared" ref="AB2:AB47" ca="1" si="1">RANK(Z2,$Z$2:$Z$47)</f>
        <v>32</v>
      </c>
      <c r="AC2" s="279">
        <v>1</v>
      </c>
      <c r="AD2" s="281" t="str">
        <f ca="1">INDEX($B$2:$B$48,MATCH(AC2,$AB$2:$AB$48,0))</f>
        <v>Wiggins</v>
      </c>
      <c r="AE2" s="144">
        <f t="shared" ref="AE2:AE48" ca="1" si="2">INDEX($Z$2:$Z$48,MATCH(AC2,$AB$2:$AB$48,0))</f>
        <v>569.01818839232169</v>
      </c>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row>
    <row r="3" spans="1:104" s="107" customFormat="1">
      <c r="A3" s="147"/>
      <c r="B3" s="148" t="s">
        <v>85</v>
      </c>
      <c r="C3" s="149">
        <f>22+6+1</f>
        <v>29</v>
      </c>
      <c r="D3" s="149">
        <f>26+6+3</f>
        <v>35</v>
      </c>
      <c r="E3" s="149">
        <f>7+6+1</f>
        <v>14</v>
      </c>
      <c r="F3" s="149">
        <f>30+6+2</f>
        <v>38</v>
      </c>
      <c r="G3" s="149">
        <f>17+6+1</f>
        <v>24</v>
      </c>
      <c r="H3" s="149">
        <f>6</f>
        <v>6</v>
      </c>
      <c r="I3" s="149"/>
      <c r="J3" s="149"/>
      <c r="K3" s="149"/>
      <c r="L3" s="149"/>
      <c r="M3" s="149"/>
      <c r="N3" s="149"/>
      <c r="O3" s="149"/>
      <c r="P3" s="149">
        <f>26+1</f>
        <v>27</v>
      </c>
      <c r="Q3" s="149">
        <v>1</v>
      </c>
      <c r="R3" s="149">
        <v>1</v>
      </c>
      <c r="S3" s="149">
        <v>1</v>
      </c>
      <c r="T3" s="149">
        <v>1</v>
      </c>
      <c r="U3" s="149">
        <f>13+1</f>
        <v>14</v>
      </c>
      <c r="V3" s="149">
        <v>1</v>
      </c>
      <c r="W3" s="149">
        <f>17+1</f>
        <v>18</v>
      </c>
      <c r="X3" s="202">
        <f t="shared" ref="X3:X48" ca="1" si="3">SUM(C3:W3)+RAND()/10</f>
        <v>210.04929363594169</v>
      </c>
      <c r="Y3" s="150">
        <v>1</v>
      </c>
      <c r="Z3" s="205">
        <f t="shared" ca="1" si="0"/>
        <v>211.04929363594169</v>
      </c>
      <c r="AA3" s="146">
        <f ca="1">COUNTIF(Teams!$4:$20,B3)</f>
        <v>10</v>
      </c>
      <c r="AB3" s="146">
        <f t="shared" ca="1" si="1"/>
        <v>9</v>
      </c>
      <c r="AC3" s="279">
        <v>2</v>
      </c>
      <c r="AD3" s="281" t="str">
        <f t="shared" ref="AD3:AD18" ca="1" si="4">INDEX($B$2:$B$48,MATCH(AC3,$AB$2:$AB$48,0))</f>
        <v>Sagan</v>
      </c>
      <c r="AE3" s="144">
        <f t="shared" ca="1" si="2"/>
        <v>430.09516070075659</v>
      </c>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row>
    <row r="4" spans="1:104" s="107" customFormat="1">
      <c r="A4" s="141"/>
      <c r="B4" s="142" t="s">
        <v>73</v>
      </c>
      <c r="C4" s="127"/>
      <c r="D4" s="127">
        <v>9</v>
      </c>
      <c r="E4" s="127"/>
      <c r="F4" s="127">
        <v>9</v>
      </c>
      <c r="G4" s="127">
        <v>7</v>
      </c>
      <c r="H4" s="127">
        <v>10</v>
      </c>
      <c r="I4" s="127"/>
      <c r="J4" s="127">
        <f>18</f>
        <v>18</v>
      </c>
      <c r="K4" s="127"/>
      <c r="L4" s="127">
        <v>11</v>
      </c>
      <c r="M4" s="127"/>
      <c r="N4" s="127">
        <f>18+3</f>
        <v>21</v>
      </c>
      <c r="O4" s="127">
        <f>10+3</f>
        <v>13</v>
      </c>
      <c r="P4" s="127">
        <f>13+3</f>
        <v>16</v>
      </c>
      <c r="Q4" s="127">
        <v>3</v>
      </c>
      <c r="R4" s="127">
        <f>6+3</f>
        <v>9</v>
      </c>
      <c r="S4" s="127">
        <v>3</v>
      </c>
      <c r="T4" s="127">
        <f>9+2</f>
        <v>11</v>
      </c>
      <c r="U4" s="127">
        <v>2</v>
      </c>
      <c r="V4" s="127">
        <v>2</v>
      </c>
      <c r="W4" s="127">
        <f>9+2</f>
        <v>11</v>
      </c>
      <c r="X4" s="201">
        <f t="shared" ca="1" si="3"/>
        <v>155.09367147352216</v>
      </c>
      <c r="Y4" s="128">
        <v>34</v>
      </c>
      <c r="Z4" s="204">
        <f t="shared" ca="1" si="0"/>
        <v>189.09367147352216</v>
      </c>
      <c r="AA4" s="146">
        <f ca="1">COUNTIF(Teams!$4:$20,B4)</f>
        <v>2</v>
      </c>
      <c r="AB4" s="146">
        <f t="shared" ca="1" si="1"/>
        <v>12</v>
      </c>
      <c r="AC4" s="279">
        <v>3</v>
      </c>
      <c r="AD4" s="281" t="str">
        <f t="shared" ca="1" si="4"/>
        <v>Froome</v>
      </c>
      <c r="AE4" s="144">
        <f t="shared" ca="1" si="2"/>
        <v>423.08386656367674</v>
      </c>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row>
    <row r="5" spans="1:104" s="107" customFormat="1">
      <c r="A5" s="147"/>
      <c r="B5" s="148" t="s">
        <v>79</v>
      </c>
      <c r="C5" s="149">
        <f>35+10+5</f>
        <v>50</v>
      </c>
      <c r="D5" s="149">
        <f>30+10+5</f>
        <v>45</v>
      </c>
      <c r="E5" s="149">
        <f>10+3</f>
        <v>13</v>
      </c>
      <c r="F5" s="149">
        <f>24+10+4</f>
        <v>38</v>
      </c>
      <c r="G5" s="149">
        <f>10</f>
        <v>10</v>
      </c>
      <c r="H5" s="149">
        <v>10</v>
      </c>
      <c r="I5" s="149">
        <v>10</v>
      </c>
      <c r="J5" s="149">
        <v>6</v>
      </c>
      <c r="K5" s="149"/>
      <c r="L5" s="149">
        <f>26</f>
        <v>26</v>
      </c>
      <c r="M5" s="149"/>
      <c r="N5" s="149"/>
      <c r="O5" s="149"/>
      <c r="P5" s="149"/>
      <c r="Q5" s="149"/>
      <c r="R5" s="149"/>
      <c r="S5" s="149"/>
      <c r="T5" s="149"/>
      <c r="U5" s="149"/>
      <c r="V5" s="149"/>
      <c r="W5" s="149"/>
      <c r="X5" s="202">
        <f t="shared" ca="1" si="3"/>
        <v>208.0560088119135</v>
      </c>
      <c r="Y5" s="150"/>
      <c r="Z5" s="205">
        <f t="shared" ca="1" si="0"/>
        <v>208.0560088119135</v>
      </c>
      <c r="AA5" s="146">
        <f ca="1">COUNTIF(Teams!$4:$20,B5)</f>
        <v>6</v>
      </c>
      <c r="AB5" s="146">
        <f t="shared" ca="1" si="1"/>
        <v>10</v>
      </c>
      <c r="AC5" s="279">
        <v>4</v>
      </c>
      <c r="AD5" s="281" t="str">
        <f t="shared" ca="1" si="4"/>
        <v>Nibali</v>
      </c>
      <c r="AE5" s="144">
        <f t="shared" ca="1" si="2"/>
        <v>403.01312799751599</v>
      </c>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row>
    <row r="6" spans="1:104" s="107" customFormat="1">
      <c r="A6" s="141"/>
      <c r="B6" s="142" t="s">
        <v>75</v>
      </c>
      <c r="C6" s="127"/>
      <c r="D6" s="127"/>
      <c r="E6" s="127">
        <f>35+4</f>
        <v>39</v>
      </c>
      <c r="F6" s="127">
        <v>3</v>
      </c>
      <c r="G6" s="127">
        <v>2</v>
      </c>
      <c r="H6" s="127">
        <f>22+2</f>
        <v>24</v>
      </c>
      <c r="I6" s="127">
        <v>2</v>
      </c>
      <c r="J6" s="127">
        <v>2</v>
      </c>
      <c r="K6" s="127">
        <v>2</v>
      </c>
      <c r="L6" s="127">
        <v>2</v>
      </c>
      <c r="M6" s="127">
        <v>2</v>
      </c>
      <c r="N6" s="127">
        <v>2</v>
      </c>
      <c r="O6" s="127">
        <v>2</v>
      </c>
      <c r="P6" s="127">
        <v>2</v>
      </c>
      <c r="Q6" s="127">
        <v>2</v>
      </c>
      <c r="R6" s="127">
        <v>2</v>
      </c>
      <c r="S6" s="127">
        <v>2</v>
      </c>
      <c r="T6" s="127">
        <v>2</v>
      </c>
      <c r="U6" s="127">
        <f>35+2</f>
        <v>37</v>
      </c>
      <c r="V6" s="127">
        <v>2</v>
      </c>
      <c r="W6" s="127">
        <f>35+2</f>
        <v>37</v>
      </c>
      <c r="X6" s="201">
        <f t="shared" ca="1" si="3"/>
        <v>168.03429230060215</v>
      </c>
      <c r="Y6" s="128">
        <v>3</v>
      </c>
      <c r="Z6" s="204">
        <f t="shared" ca="1" si="0"/>
        <v>171.03429230060215</v>
      </c>
      <c r="AA6" s="146">
        <f ca="1">COUNTIF(Teams!$4:$20,B6)</f>
        <v>9</v>
      </c>
      <c r="AB6" s="146">
        <f t="shared" ca="1" si="1"/>
        <v>14</v>
      </c>
      <c r="AC6" s="279">
        <v>5</v>
      </c>
      <c r="AD6" s="281" t="str">
        <f t="shared" ca="1" si="4"/>
        <v>Evans</v>
      </c>
      <c r="AE6" s="144">
        <f t="shared" ca="1" si="2"/>
        <v>370.07018571306276</v>
      </c>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row>
    <row r="7" spans="1:104" s="107" customFormat="1">
      <c r="A7" s="147"/>
      <c r="B7" s="148" t="s">
        <v>173</v>
      </c>
      <c r="C7" s="149"/>
      <c r="D7" s="149"/>
      <c r="E7" s="149"/>
      <c r="F7" s="149"/>
      <c r="G7" s="149"/>
      <c r="H7" s="149"/>
      <c r="I7" s="149"/>
      <c r="J7" s="149"/>
      <c r="K7" s="149"/>
      <c r="L7" s="149"/>
      <c r="M7" s="149"/>
      <c r="N7" s="149">
        <v>9</v>
      </c>
      <c r="O7" s="149"/>
      <c r="P7" s="149"/>
      <c r="Q7" s="149"/>
      <c r="R7" s="149"/>
      <c r="S7" s="149">
        <v>7</v>
      </c>
      <c r="T7" s="149"/>
      <c r="U7" s="149"/>
      <c r="V7" s="149"/>
      <c r="W7" s="149"/>
      <c r="X7" s="202">
        <f t="shared" ca="1" si="3"/>
        <v>16.090041268473282</v>
      </c>
      <c r="Y7" s="150"/>
      <c r="Z7" s="205">
        <f t="shared" ca="1" si="0"/>
        <v>16.090041268473282</v>
      </c>
      <c r="AA7" s="146">
        <f ca="1">COUNTIF(Teams!$4:$20,B7)</f>
        <v>1</v>
      </c>
      <c r="AB7" s="146">
        <f t="shared" ca="1" si="1"/>
        <v>33</v>
      </c>
      <c r="AC7" s="279">
        <v>6</v>
      </c>
      <c r="AD7" s="281" t="str">
        <f t="shared" ca="1" si="4"/>
        <v>Greipel</v>
      </c>
      <c r="AE7" s="144">
        <f t="shared" ca="1" si="2"/>
        <v>283.00841537130151</v>
      </c>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row>
    <row r="8" spans="1:104" s="107" customFormat="1">
      <c r="A8" s="141"/>
      <c r="B8" s="142" t="s">
        <v>217</v>
      </c>
      <c r="C8" s="127"/>
      <c r="D8" s="127"/>
      <c r="E8" s="127"/>
      <c r="F8" s="127"/>
      <c r="G8" s="127"/>
      <c r="H8" s="127"/>
      <c r="I8" s="127"/>
      <c r="J8" s="127"/>
      <c r="K8" s="127"/>
      <c r="L8" s="127"/>
      <c r="M8" s="127"/>
      <c r="N8" s="127"/>
      <c r="O8" s="127"/>
      <c r="P8" s="127"/>
      <c r="Q8" s="127"/>
      <c r="R8" s="127"/>
      <c r="S8" s="127"/>
      <c r="T8" s="127"/>
      <c r="U8" s="127"/>
      <c r="V8" s="127"/>
      <c r="W8" s="127"/>
      <c r="X8" s="201">
        <f t="shared" ca="1" si="3"/>
        <v>6.0385900442030335E-2</v>
      </c>
      <c r="Y8" s="128"/>
      <c r="Z8" s="204">
        <f t="shared" ca="1" si="0"/>
        <v>6.0385900442030335E-2</v>
      </c>
      <c r="AA8" s="146">
        <f ca="1">COUNTIF(Teams!$4:$20,B8)</f>
        <v>1</v>
      </c>
      <c r="AB8" s="146">
        <f t="shared" ca="1" si="1"/>
        <v>42</v>
      </c>
      <c r="AC8" s="279">
        <v>7</v>
      </c>
      <c r="AD8" s="281" t="str">
        <f t="shared" ca="1" si="4"/>
        <v>Goss</v>
      </c>
      <c r="AE8" s="144">
        <f t="shared" ca="1" si="2"/>
        <v>249.03859848521671</v>
      </c>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row>
    <row r="9" spans="1:104" s="107" customFormat="1">
      <c r="A9" s="147"/>
      <c r="B9" s="148" t="s">
        <v>101</v>
      </c>
      <c r="C9" s="149"/>
      <c r="D9" s="149"/>
      <c r="E9" s="149"/>
      <c r="F9" s="149"/>
      <c r="G9" s="149"/>
      <c r="H9" s="149"/>
      <c r="I9" s="149"/>
      <c r="J9" s="149"/>
      <c r="K9" s="149"/>
      <c r="L9" s="149"/>
      <c r="M9" s="149"/>
      <c r="N9" s="149"/>
      <c r="O9" s="149"/>
      <c r="P9" s="149"/>
      <c r="Q9" s="149"/>
      <c r="R9" s="149"/>
      <c r="S9" s="149"/>
      <c r="T9" s="149"/>
      <c r="U9" s="149"/>
      <c r="V9" s="149"/>
      <c r="W9" s="149"/>
      <c r="X9" s="202">
        <f t="shared" ca="1" si="3"/>
        <v>7.8032900483059636E-2</v>
      </c>
      <c r="Y9" s="150"/>
      <c r="Z9" s="205">
        <f t="shared" ca="1" si="0"/>
        <v>7.8032900483059636E-2</v>
      </c>
      <c r="AA9" s="146">
        <f ca="1">COUNTIF(Teams!$4:$20,B9)</f>
        <v>3</v>
      </c>
      <c r="AB9" s="146">
        <f t="shared" ca="1" si="1"/>
        <v>40</v>
      </c>
      <c r="AC9" s="279">
        <v>8</v>
      </c>
      <c r="AD9" s="281" t="str">
        <f t="shared" ca="1" si="4"/>
        <v>Van Den Broeck</v>
      </c>
      <c r="AE9" s="144">
        <f t="shared" ca="1" si="2"/>
        <v>244.02644451917828</v>
      </c>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row>
    <row r="10" spans="1:104" s="107" customFormat="1">
      <c r="A10" s="141"/>
      <c r="B10" s="142" t="s">
        <v>81</v>
      </c>
      <c r="C10" s="127">
        <v>13</v>
      </c>
      <c r="D10" s="127">
        <f>6+3</f>
        <v>9</v>
      </c>
      <c r="E10" s="127">
        <v>3</v>
      </c>
      <c r="F10" s="127">
        <f>20+4</f>
        <v>24</v>
      </c>
      <c r="G10" s="127">
        <v>4</v>
      </c>
      <c r="H10" s="127">
        <v>4</v>
      </c>
      <c r="I10" s="127">
        <f>12+5</f>
        <v>17</v>
      </c>
      <c r="J10" s="127">
        <f>30+9+4</f>
        <v>43</v>
      </c>
      <c r="K10" s="127">
        <f>30+9+3</f>
        <v>42</v>
      </c>
      <c r="L10" s="127">
        <f>20+9+3</f>
        <v>32</v>
      </c>
      <c r="M10" s="127">
        <f>14+9</f>
        <v>23</v>
      </c>
      <c r="N10" s="127">
        <f>15+7</f>
        <v>22</v>
      </c>
      <c r="O10" s="127">
        <f>17+7+1</f>
        <v>25</v>
      </c>
      <c r="P10" s="127">
        <f>10+7</f>
        <v>17</v>
      </c>
      <c r="Q10" s="127">
        <f>10+7</f>
        <v>17</v>
      </c>
      <c r="R10" s="127">
        <v>7</v>
      </c>
      <c r="S10" s="127">
        <v>4</v>
      </c>
      <c r="T10" s="127">
        <f>8+5</f>
        <v>13</v>
      </c>
      <c r="U10" s="127">
        <v>5</v>
      </c>
      <c r="V10" s="127">
        <v>4</v>
      </c>
      <c r="W10" s="127">
        <v>4</v>
      </c>
      <c r="X10" s="201">
        <f t="shared" ca="1" si="3"/>
        <v>332.07018571306276</v>
      </c>
      <c r="Y10" s="128">
        <v>38</v>
      </c>
      <c r="Z10" s="204">
        <f t="shared" ca="1" si="0"/>
        <v>370.07018571306276</v>
      </c>
      <c r="AA10" s="146">
        <f ca="1">COUNTIF(Teams!$4:$20,B10)</f>
        <v>11</v>
      </c>
      <c r="AB10" s="146">
        <f t="shared" ca="1" si="1"/>
        <v>5</v>
      </c>
      <c r="AC10" s="279">
        <v>9</v>
      </c>
      <c r="AD10" s="281" t="str">
        <f t="shared" ca="1" si="4"/>
        <v>Boasson Hagen</v>
      </c>
      <c r="AE10" s="144">
        <f t="shared" ca="1" si="2"/>
        <v>211.04929363594169</v>
      </c>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row>
    <row r="11" spans="1:104" s="107" customFormat="1">
      <c r="A11" s="147"/>
      <c r="B11" s="148" t="s">
        <v>76</v>
      </c>
      <c r="C11" s="149"/>
      <c r="D11" s="149"/>
      <c r="E11" s="149">
        <v>16</v>
      </c>
      <c r="F11" s="149"/>
      <c r="G11" s="149"/>
      <c r="H11" s="149"/>
      <c r="I11" s="149"/>
      <c r="J11" s="149"/>
      <c r="K11" s="149"/>
      <c r="L11" s="149"/>
      <c r="M11" s="149"/>
      <c r="N11" s="149"/>
      <c r="O11" s="149"/>
      <c r="P11" s="149"/>
      <c r="Q11" s="149"/>
      <c r="R11" s="149">
        <v>18</v>
      </c>
      <c r="S11" s="149"/>
      <c r="T11" s="149"/>
      <c r="U11" s="149">
        <v>20</v>
      </c>
      <c r="V11" s="149"/>
      <c r="W11" s="149">
        <v>15</v>
      </c>
      <c r="X11" s="202">
        <f t="shared" ca="1" si="3"/>
        <v>69.004325144389838</v>
      </c>
      <c r="Y11" s="150"/>
      <c r="Z11" s="205">
        <f t="shared" ca="1" si="0"/>
        <v>69.004325144389838</v>
      </c>
      <c r="AA11" s="146">
        <f ca="1">COUNTIF(Teams!$4:$20,B11)</f>
        <v>7</v>
      </c>
      <c r="AB11" s="146">
        <f t="shared" ca="1" si="1"/>
        <v>21</v>
      </c>
      <c r="AC11" s="279">
        <v>10</v>
      </c>
      <c r="AD11" s="281" t="str">
        <f t="shared" ca="1" si="4"/>
        <v>Cancellara</v>
      </c>
      <c r="AE11" s="144">
        <f t="shared" ca="1" si="2"/>
        <v>208.0560088119135</v>
      </c>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row>
    <row r="12" spans="1:104" s="107" customFormat="1">
      <c r="A12" s="141" t="s">
        <v>229</v>
      </c>
      <c r="B12" s="142" t="s">
        <v>102</v>
      </c>
      <c r="C12" s="127"/>
      <c r="D12" s="127"/>
      <c r="E12" s="127"/>
      <c r="F12" s="127"/>
      <c r="G12" s="127"/>
      <c r="H12" s="127"/>
      <c r="I12" s="127"/>
      <c r="J12" s="127"/>
      <c r="K12" s="127"/>
      <c r="L12" s="127"/>
      <c r="M12" s="127"/>
      <c r="N12" s="127"/>
      <c r="O12" s="127"/>
      <c r="P12" s="127"/>
      <c r="Q12" s="127"/>
      <c r="R12" s="127"/>
      <c r="S12" s="127">
        <f>22+1</f>
        <v>23</v>
      </c>
      <c r="T12" s="127"/>
      <c r="U12" s="127"/>
      <c r="V12" s="127"/>
      <c r="W12" s="127"/>
      <c r="X12" s="201">
        <f t="shared" ca="1" si="3"/>
        <v>23.056302242437248</v>
      </c>
      <c r="Y12" s="128"/>
      <c r="Z12" s="204">
        <f t="shared" ca="1" si="0"/>
        <v>23.056302242437248</v>
      </c>
      <c r="AA12" s="146">
        <f ca="1">COUNTIF(Teams!$4:$20,B12)</f>
        <v>1</v>
      </c>
      <c r="AB12" s="146">
        <f t="shared" ca="1" si="1"/>
        <v>31</v>
      </c>
      <c r="AC12" s="279">
        <v>11</v>
      </c>
      <c r="AD12" s="281" t="str">
        <f t="shared" ca="1" si="4"/>
        <v>Rolland</v>
      </c>
      <c r="AE12" s="144">
        <f t="shared" ca="1" si="2"/>
        <v>204.02067490607044</v>
      </c>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row>
    <row r="13" spans="1:104" s="107" customFormat="1">
      <c r="A13" s="147"/>
      <c r="B13" s="148" t="s">
        <v>202</v>
      </c>
      <c r="C13" s="149"/>
      <c r="D13" s="149"/>
      <c r="E13" s="149">
        <v>10</v>
      </c>
      <c r="F13" s="149"/>
      <c r="G13" s="149"/>
      <c r="H13" s="149">
        <v>19</v>
      </c>
      <c r="I13" s="149"/>
      <c r="J13" s="149"/>
      <c r="K13" s="149"/>
      <c r="L13" s="149"/>
      <c r="M13" s="149"/>
      <c r="N13" s="149"/>
      <c r="O13" s="149"/>
      <c r="P13" s="149"/>
      <c r="Q13" s="149"/>
      <c r="R13" s="149"/>
      <c r="S13" s="149"/>
      <c r="T13" s="149"/>
      <c r="U13" s="149"/>
      <c r="V13" s="149"/>
      <c r="W13" s="149"/>
      <c r="X13" s="202">
        <f t="shared" ca="1" si="3"/>
        <v>29.051217514035162</v>
      </c>
      <c r="Y13" s="150"/>
      <c r="Z13" s="205">
        <f t="shared" ca="1" si="0"/>
        <v>29.051217514035162</v>
      </c>
      <c r="AA13" s="146">
        <f ca="1">COUNTIF(Teams!$4:$20,B13)</f>
        <v>1</v>
      </c>
      <c r="AB13" s="146">
        <f t="shared" ca="1" si="1"/>
        <v>28</v>
      </c>
      <c r="AC13" s="279">
        <v>12</v>
      </c>
      <c r="AD13" s="281" t="str">
        <f t="shared" ca="1" si="4"/>
        <v>Brajkovic</v>
      </c>
      <c r="AE13" s="144">
        <f t="shared" ca="1" si="2"/>
        <v>189.09367147352216</v>
      </c>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row>
    <row r="14" spans="1:104" s="107" customFormat="1">
      <c r="A14" s="141"/>
      <c r="B14" s="142" t="s">
        <v>147</v>
      </c>
      <c r="C14" s="127">
        <v>15</v>
      </c>
      <c r="D14" s="127"/>
      <c r="E14" s="127"/>
      <c r="F14" s="127"/>
      <c r="G14" s="127"/>
      <c r="H14" s="127"/>
      <c r="I14" s="127"/>
      <c r="J14" s="127">
        <f>35+2+5</f>
        <v>42</v>
      </c>
      <c r="K14" s="127">
        <f>19+5+4</f>
        <v>28</v>
      </c>
      <c r="L14" s="127">
        <f>30+8+4</f>
        <v>42</v>
      </c>
      <c r="M14" s="127">
        <f>8+8+2</f>
        <v>18</v>
      </c>
      <c r="N14" s="127">
        <f>26+9+1</f>
        <v>36</v>
      </c>
      <c r="O14" s="127">
        <f>11+9</f>
        <v>20</v>
      </c>
      <c r="P14" s="127">
        <f>11+9</f>
        <v>20</v>
      </c>
      <c r="Q14" s="127">
        <f>6+9</f>
        <v>15</v>
      </c>
      <c r="R14" s="127">
        <f>9</f>
        <v>9</v>
      </c>
      <c r="S14" s="127">
        <f>13+9</f>
        <v>22</v>
      </c>
      <c r="T14" s="127">
        <f>30+9</f>
        <v>39</v>
      </c>
      <c r="U14" s="127">
        <v>9</v>
      </c>
      <c r="V14" s="127">
        <f>30+9</f>
        <v>39</v>
      </c>
      <c r="W14" s="127">
        <v>9</v>
      </c>
      <c r="X14" s="201">
        <f t="shared" ca="1" si="3"/>
        <v>363.08386656367674</v>
      </c>
      <c r="Y14" s="128">
        <v>60</v>
      </c>
      <c r="Z14" s="204">
        <f t="shared" ca="1" si="0"/>
        <v>423.08386656367674</v>
      </c>
      <c r="AA14" s="146">
        <f ca="1">COUNTIF(Teams!$4:$20,B14)</f>
        <v>1</v>
      </c>
      <c r="AB14" s="146">
        <f t="shared" ca="1" si="1"/>
        <v>3</v>
      </c>
      <c r="AC14" s="279">
        <v>13</v>
      </c>
      <c r="AD14" s="281" t="str">
        <f t="shared" ca="1" si="4"/>
        <v>Menchov</v>
      </c>
      <c r="AE14" s="144">
        <f t="shared" ca="1" si="2"/>
        <v>172.05723093701624</v>
      </c>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row>
    <row r="15" spans="1:104" s="107" customFormat="1">
      <c r="A15" s="147"/>
      <c r="B15" s="148" t="s">
        <v>139</v>
      </c>
      <c r="C15" s="149"/>
      <c r="D15" s="149">
        <v>13</v>
      </c>
      <c r="E15" s="149"/>
      <c r="F15" s="149"/>
      <c r="G15" s="149"/>
      <c r="H15" s="149"/>
      <c r="I15" s="149"/>
      <c r="J15" s="149"/>
      <c r="K15" s="149"/>
      <c r="L15" s="149"/>
      <c r="M15" s="149"/>
      <c r="N15" s="149"/>
      <c r="O15" s="149"/>
      <c r="P15" s="149"/>
      <c r="Q15" s="149"/>
      <c r="R15" s="149"/>
      <c r="S15" s="149"/>
      <c r="T15" s="149"/>
      <c r="U15" s="149"/>
      <c r="V15" s="149"/>
      <c r="W15" s="149"/>
      <c r="X15" s="202">
        <f t="shared" ca="1" si="3"/>
        <v>13.020392163981901</v>
      </c>
      <c r="Y15" s="150"/>
      <c r="Z15" s="205">
        <f t="shared" ca="1" si="0"/>
        <v>13.020392163981901</v>
      </c>
      <c r="AA15" s="146">
        <f ca="1">COUNTIF(Teams!$4:$20,B15)</f>
        <v>1</v>
      </c>
      <c r="AB15" s="146">
        <f t="shared" ca="1" si="1"/>
        <v>37</v>
      </c>
      <c r="AC15" s="279">
        <v>14</v>
      </c>
      <c r="AD15" s="281" t="str">
        <f t="shared" ca="1" si="4"/>
        <v>Cavendish</v>
      </c>
      <c r="AE15" s="144">
        <f t="shared" ca="1" si="2"/>
        <v>171.03429230060215</v>
      </c>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row>
    <row r="16" spans="1:104" s="107" customFormat="1">
      <c r="A16" s="141"/>
      <c r="B16" s="142" t="s">
        <v>70</v>
      </c>
      <c r="C16" s="127"/>
      <c r="D16" s="127">
        <v>19</v>
      </c>
      <c r="E16" s="127"/>
      <c r="F16" s="127">
        <v>8</v>
      </c>
      <c r="G16" s="127"/>
      <c r="H16" s="127"/>
      <c r="I16" s="127"/>
      <c r="J16" s="127"/>
      <c r="K16" s="127"/>
      <c r="L16" s="127"/>
      <c r="M16" s="127"/>
      <c r="N16" s="127"/>
      <c r="O16" s="127"/>
      <c r="P16" s="127"/>
      <c r="Q16" s="127"/>
      <c r="R16" s="127"/>
      <c r="S16" s="127"/>
      <c r="T16" s="127"/>
      <c r="U16" s="127"/>
      <c r="V16" s="127"/>
      <c r="W16" s="127"/>
      <c r="X16" s="201">
        <f t="shared" ca="1" si="3"/>
        <v>27.056902252550096</v>
      </c>
      <c r="Y16" s="128"/>
      <c r="Z16" s="204">
        <f t="shared" ca="1" si="0"/>
        <v>27.056902252550096</v>
      </c>
      <c r="AA16" s="146">
        <f ca="1">COUNTIF(Teams!$4:$20,B16)</f>
        <v>4</v>
      </c>
      <c r="AB16" s="146">
        <f t="shared" ca="1" si="1"/>
        <v>29</v>
      </c>
      <c r="AC16" s="279">
        <v>15</v>
      </c>
      <c r="AD16" s="281" t="str">
        <f t="shared" ca="1" si="4"/>
        <v>Voeckler</v>
      </c>
      <c r="AE16" s="144">
        <f t="shared" ca="1" si="2"/>
        <v>139.0386807353191</v>
      </c>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row>
    <row r="17" spans="1:104" s="107" customFormat="1">
      <c r="A17" s="147"/>
      <c r="B17" s="148" t="s">
        <v>98</v>
      </c>
      <c r="C17" s="149">
        <f>17+2</f>
        <v>19</v>
      </c>
      <c r="D17" s="149">
        <f>24+4+2</f>
        <v>30</v>
      </c>
      <c r="E17" s="149">
        <v>4</v>
      </c>
      <c r="F17" s="149"/>
      <c r="G17" s="149"/>
      <c r="H17" s="149"/>
      <c r="I17" s="149"/>
      <c r="J17" s="149"/>
      <c r="K17" s="149"/>
      <c r="L17" s="149"/>
      <c r="M17" s="149"/>
      <c r="N17" s="149"/>
      <c r="O17" s="149"/>
      <c r="P17" s="149">
        <v>18</v>
      </c>
      <c r="Q17" s="149">
        <v>24</v>
      </c>
      <c r="R17" s="149"/>
      <c r="S17" s="149"/>
      <c r="T17" s="149"/>
      <c r="U17" s="149"/>
      <c r="V17" s="149"/>
      <c r="W17" s="149"/>
      <c r="X17" s="202">
        <f t="shared" ca="1" si="3"/>
        <v>95.029901451657864</v>
      </c>
      <c r="Y17" s="150"/>
      <c r="Z17" s="205">
        <f t="shared" ca="1" si="0"/>
        <v>95.029901451657864</v>
      </c>
      <c r="AA17" s="146">
        <f ca="1">COUNTIF(Teams!$4:$20,B17)</f>
        <v>4</v>
      </c>
      <c r="AB17" s="146">
        <f t="shared" ca="1" si="1"/>
        <v>19</v>
      </c>
      <c r="AC17" s="279">
        <v>16</v>
      </c>
      <c r="AD17" s="281" t="str">
        <f t="shared" ca="1" si="4"/>
        <v>Velits</v>
      </c>
      <c r="AE17" s="144">
        <f t="shared" ca="1" si="2"/>
        <v>125.04896283040587</v>
      </c>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row>
    <row r="18" spans="1:104" s="143" customFormat="1">
      <c r="A18" s="141"/>
      <c r="B18" s="142" t="s">
        <v>100</v>
      </c>
      <c r="C18" s="127"/>
      <c r="D18" s="127"/>
      <c r="E18" s="127">
        <f>26+2</f>
        <v>28</v>
      </c>
      <c r="F18" s="127">
        <v>1</v>
      </c>
      <c r="G18" s="127">
        <f>24+4</f>
        <v>28</v>
      </c>
      <c r="H18" s="127">
        <f>30+4</f>
        <v>34</v>
      </c>
      <c r="I18" s="127">
        <f>26+4</f>
        <v>30</v>
      </c>
      <c r="J18" s="127">
        <v>4</v>
      </c>
      <c r="K18" s="127">
        <v>4</v>
      </c>
      <c r="L18" s="127">
        <v>4</v>
      </c>
      <c r="M18" s="127">
        <v>4</v>
      </c>
      <c r="N18" s="127">
        <v>4</v>
      </c>
      <c r="O18" s="127">
        <f>19+4</f>
        <v>23</v>
      </c>
      <c r="P18" s="127">
        <v>3</v>
      </c>
      <c r="Q18" s="127">
        <v>3</v>
      </c>
      <c r="R18" s="127">
        <v>3</v>
      </c>
      <c r="S18" s="127">
        <v>3</v>
      </c>
      <c r="T18" s="127">
        <v>3</v>
      </c>
      <c r="U18" s="127">
        <f>30+3</f>
        <v>33</v>
      </c>
      <c r="V18" s="127">
        <v>3</v>
      </c>
      <c r="W18" s="127">
        <f>26+3</f>
        <v>29</v>
      </c>
      <c r="X18" s="201">
        <f t="shared" ca="1" si="3"/>
        <v>244.03859848521671</v>
      </c>
      <c r="Y18" s="128">
        <v>5</v>
      </c>
      <c r="Z18" s="204">
        <f t="shared" ca="1" si="0"/>
        <v>249.03859848521671</v>
      </c>
      <c r="AA18" s="146">
        <f ca="1">COUNTIF(Teams!$4:$20,B18)</f>
        <v>6</v>
      </c>
      <c r="AB18" s="146">
        <f t="shared" ca="1" si="1"/>
        <v>7</v>
      </c>
      <c r="AC18" s="279">
        <v>17</v>
      </c>
      <c r="AD18" s="281" t="str">
        <f t="shared" ca="1" si="4"/>
        <v>L.L.</v>
      </c>
      <c r="AE18" s="145">
        <f t="shared" ca="1" si="2"/>
        <v>109.05577635075116</v>
      </c>
      <c r="AF18" s="293">
        <f ca="1">SUM($AE$2:$AE$18)</f>
        <v>4499.8085797245722</v>
      </c>
    </row>
    <row r="19" spans="1:104" s="107" customFormat="1">
      <c r="A19" s="147"/>
      <c r="B19" s="148" t="s">
        <v>99</v>
      </c>
      <c r="C19" s="149"/>
      <c r="D19" s="149"/>
      <c r="E19" s="149">
        <v>30</v>
      </c>
      <c r="F19" s="149"/>
      <c r="G19" s="149">
        <f>35+3</f>
        <v>38</v>
      </c>
      <c r="H19" s="149">
        <f>35+3</f>
        <v>38</v>
      </c>
      <c r="I19" s="149">
        <f>30+3</f>
        <v>33</v>
      </c>
      <c r="J19" s="149">
        <v>3</v>
      </c>
      <c r="K19" s="149">
        <v>3</v>
      </c>
      <c r="L19" s="149">
        <v>3</v>
      </c>
      <c r="M19" s="149">
        <v>3</v>
      </c>
      <c r="N19" s="149">
        <v>3</v>
      </c>
      <c r="O19" s="149">
        <v>3</v>
      </c>
      <c r="P19" s="149">
        <f>35+4</f>
        <v>39</v>
      </c>
      <c r="Q19" s="149">
        <v>4</v>
      </c>
      <c r="R19" s="149">
        <f>19+4</f>
        <v>23</v>
      </c>
      <c r="S19" s="149">
        <v>4</v>
      </c>
      <c r="T19" s="149">
        <v>4</v>
      </c>
      <c r="U19" s="149">
        <f>15+4</f>
        <v>19</v>
      </c>
      <c r="V19" s="149">
        <v>4</v>
      </c>
      <c r="W19" s="149">
        <f>18+4</f>
        <v>22</v>
      </c>
      <c r="X19" s="202">
        <f t="shared" ca="1" si="3"/>
        <v>276.00841537130151</v>
      </c>
      <c r="Y19" s="150">
        <v>7</v>
      </c>
      <c r="Z19" s="205">
        <f t="shared" ca="1" si="0"/>
        <v>283.00841537130151</v>
      </c>
      <c r="AA19" s="146">
        <f ca="1">COUNTIF(Teams!$4:$20,B19)</f>
        <v>8</v>
      </c>
      <c r="AB19" s="146">
        <f t="shared" ca="1" si="1"/>
        <v>6</v>
      </c>
      <c r="AC19" s="279">
        <v>18</v>
      </c>
      <c r="AD19" s="104" t="str">
        <f t="shared" ref="AD19:AD48" ca="1" si="5">INDEX($B$2:$B$48,MATCH(AC19,$AB$2:$AB$47,0))</f>
        <v>Petacchi</v>
      </c>
      <c r="AE19" s="292">
        <f t="shared" ca="1" si="2"/>
        <v>96.077681723540607</v>
      </c>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row>
    <row r="20" spans="1:104" s="108" customFormat="1">
      <c r="A20" s="141"/>
      <c r="B20" s="142" t="s">
        <v>93</v>
      </c>
      <c r="C20" s="127">
        <v>11</v>
      </c>
      <c r="D20" s="127">
        <f>17+1</f>
        <v>18</v>
      </c>
      <c r="E20" s="127">
        <v>1</v>
      </c>
      <c r="F20" s="127">
        <f>15+2</f>
        <v>17</v>
      </c>
      <c r="G20" s="127">
        <v>2</v>
      </c>
      <c r="H20" s="127">
        <v>2</v>
      </c>
      <c r="I20" s="127"/>
      <c r="J20" s="127"/>
      <c r="K20" s="127"/>
      <c r="L20" s="127"/>
      <c r="M20" s="127"/>
      <c r="N20" s="127"/>
      <c r="O20" s="127"/>
      <c r="P20" s="127"/>
      <c r="Q20" s="127"/>
      <c r="R20" s="127"/>
      <c r="S20" s="127"/>
      <c r="T20" s="127"/>
      <c r="U20" s="127"/>
      <c r="V20" s="127"/>
      <c r="W20" s="127"/>
      <c r="X20" s="201">
        <f t="shared" ca="1" si="3"/>
        <v>51.002726020143179</v>
      </c>
      <c r="Y20" s="128"/>
      <c r="Z20" s="204">
        <f t="shared" ca="1" si="0"/>
        <v>51.002726020143179</v>
      </c>
      <c r="AA20" s="146">
        <f ca="1">COUNTIF(Teams!$4:$20,B20)</f>
        <v>3</v>
      </c>
      <c r="AB20" s="146">
        <f t="shared" ca="1" si="1"/>
        <v>24</v>
      </c>
      <c r="AC20" s="279">
        <v>19</v>
      </c>
      <c r="AD20" s="104" t="str">
        <f t="shared" ca="1" si="5"/>
        <v>Gilbert</v>
      </c>
      <c r="AE20" s="292">
        <f t="shared" ca="1" si="2"/>
        <v>95.029901451657864</v>
      </c>
    </row>
    <row r="21" spans="1:104" s="107" customFormat="1">
      <c r="A21" s="147"/>
      <c r="B21" s="148" t="s">
        <v>125</v>
      </c>
      <c r="C21" s="149"/>
      <c r="D21" s="149"/>
      <c r="E21" s="149"/>
      <c r="F21" s="149"/>
      <c r="G21" s="149"/>
      <c r="H21" s="149"/>
      <c r="I21" s="149"/>
      <c r="J21" s="149"/>
      <c r="K21" s="149"/>
      <c r="L21" s="149"/>
      <c r="M21" s="149"/>
      <c r="N21" s="149"/>
      <c r="O21" s="149"/>
      <c r="P21" s="149"/>
      <c r="Q21" s="149"/>
      <c r="R21" s="149"/>
      <c r="S21" s="149"/>
      <c r="T21" s="149"/>
      <c r="U21" s="149"/>
      <c r="V21" s="149"/>
      <c r="W21" s="149"/>
      <c r="X21" s="202">
        <f t="shared" ca="1" si="3"/>
        <v>4.953592998422076E-2</v>
      </c>
      <c r="Y21" s="150"/>
      <c r="Z21" s="205">
        <f t="shared" ca="1" si="0"/>
        <v>4.953592998422076E-2</v>
      </c>
      <c r="AA21" s="146">
        <f ca="1">COUNTIF(Teams!$4:$20,B21)</f>
        <v>1</v>
      </c>
      <c r="AB21" s="146">
        <f t="shared" ca="1" si="1"/>
        <v>43</v>
      </c>
      <c r="AC21" s="279">
        <v>20</v>
      </c>
      <c r="AD21" s="104" t="str">
        <f t="shared" ca="1" si="5"/>
        <v>Valverde</v>
      </c>
      <c r="AE21" s="292">
        <f t="shared" ca="1" si="2"/>
        <v>89.03443225662204</v>
      </c>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row>
    <row r="22" spans="1:104" s="108" customFormat="1">
      <c r="A22" s="141"/>
      <c r="B22" s="142" t="s">
        <v>132</v>
      </c>
      <c r="C22" s="127"/>
      <c r="D22" s="127"/>
      <c r="E22" s="127"/>
      <c r="F22" s="127"/>
      <c r="G22" s="127"/>
      <c r="H22" s="127"/>
      <c r="I22" s="127"/>
      <c r="J22" s="127"/>
      <c r="K22" s="127"/>
      <c r="L22" s="127"/>
      <c r="M22" s="127"/>
      <c r="N22" s="127"/>
      <c r="O22" s="127"/>
      <c r="P22" s="127"/>
      <c r="Q22" s="127"/>
      <c r="R22" s="127"/>
      <c r="S22" s="127"/>
      <c r="T22" s="127"/>
      <c r="U22" s="127"/>
      <c r="V22" s="127"/>
      <c r="W22" s="127"/>
      <c r="X22" s="201">
        <f t="shared" ca="1" si="3"/>
        <v>7.3960276948728351E-2</v>
      </c>
      <c r="Y22" s="128"/>
      <c r="Z22" s="204">
        <f t="shared" ca="1" si="0"/>
        <v>7.3960276948728351E-2</v>
      </c>
      <c r="AA22" s="146">
        <f ca="1">COUNTIF(Teams!$4:$20,B22)</f>
        <v>8</v>
      </c>
      <c r="AB22" s="146">
        <f t="shared" ca="1" si="1"/>
        <v>41</v>
      </c>
      <c r="AC22" s="279">
        <v>21</v>
      </c>
      <c r="AD22" s="104" t="str">
        <f t="shared" ca="1" si="5"/>
        <v>Farrar</v>
      </c>
      <c r="AE22" s="292">
        <f t="shared" ca="1" si="2"/>
        <v>69.004325144389838</v>
      </c>
    </row>
    <row r="23" spans="1:104" s="107" customFormat="1">
      <c r="A23" s="147"/>
      <c r="B23" s="148" t="s">
        <v>228</v>
      </c>
      <c r="C23" s="149">
        <v>7</v>
      </c>
      <c r="D23" s="149"/>
      <c r="E23" s="149"/>
      <c r="F23" s="149">
        <f>13+1</f>
        <v>14</v>
      </c>
      <c r="G23" s="149">
        <v>1</v>
      </c>
      <c r="H23" s="149">
        <v>1</v>
      </c>
      <c r="I23" s="149">
        <f>8+2</f>
        <v>10</v>
      </c>
      <c r="J23" s="149"/>
      <c r="K23" s="149"/>
      <c r="L23" s="149">
        <f>16</f>
        <v>16</v>
      </c>
      <c r="M23" s="149"/>
      <c r="N23" s="149">
        <v>12</v>
      </c>
      <c r="O23" s="149"/>
      <c r="P23" s="149">
        <f>8</f>
        <v>8</v>
      </c>
      <c r="Q23" s="149"/>
      <c r="R23" s="149"/>
      <c r="S23" s="149"/>
      <c r="T23" s="149">
        <v>15</v>
      </c>
      <c r="U23" s="149">
        <v>12</v>
      </c>
      <c r="V23" s="149">
        <f>7</f>
        <v>7</v>
      </c>
      <c r="W23" s="149"/>
      <c r="X23" s="202">
        <f t="shared" ca="1" si="3"/>
        <v>103.02633097660998</v>
      </c>
      <c r="Y23" s="150">
        <v>30</v>
      </c>
      <c r="Z23" s="205"/>
      <c r="AA23" s="146">
        <f ca="1">COUNTIF(Teams!$4:$20,B23)</f>
        <v>1</v>
      </c>
      <c r="AB23" s="146" t="e">
        <f t="shared" ca="1" si="1"/>
        <v>#N/A</v>
      </c>
      <c r="AC23" s="279">
        <v>22</v>
      </c>
      <c r="AD23" s="104" t="str">
        <f t="shared" ca="1" si="5"/>
        <v>Mollema</v>
      </c>
      <c r="AE23" s="292">
        <f t="shared" ca="1" si="2"/>
        <v>54.021480097178738</v>
      </c>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row>
    <row r="24" spans="1:104" s="108" customFormat="1">
      <c r="A24" s="141"/>
      <c r="B24" s="142" t="s">
        <v>226</v>
      </c>
      <c r="C24" s="127"/>
      <c r="D24" s="127"/>
      <c r="E24" s="127"/>
      <c r="F24" s="127"/>
      <c r="G24" s="127"/>
      <c r="H24" s="127"/>
      <c r="I24" s="127"/>
      <c r="J24" s="127"/>
      <c r="K24" s="127"/>
      <c r="L24" s="127"/>
      <c r="M24" s="127"/>
      <c r="N24" s="127"/>
      <c r="O24" s="127"/>
      <c r="P24" s="127"/>
      <c r="Q24" s="127"/>
      <c r="R24" s="127"/>
      <c r="S24" s="127"/>
      <c r="T24" s="127"/>
      <c r="U24" s="127"/>
      <c r="V24" s="127"/>
      <c r="W24" s="127"/>
      <c r="X24" s="201">
        <f t="shared" ca="1" si="3"/>
        <v>1.2755888952469619E-2</v>
      </c>
      <c r="Y24" s="128"/>
      <c r="Z24" s="204">
        <f t="shared" ref="Z24:Z48" ca="1" si="6">SUM(X24:Y24)</f>
        <v>1.2755888952469619E-2</v>
      </c>
      <c r="AA24" s="146">
        <f ca="1">COUNTIF(Teams!$4:$20,B24)</f>
        <v>0</v>
      </c>
      <c r="AB24" s="146">
        <f t="shared" ca="1" si="1"/>
        <v>45</v>
      </c>
      <c r="AC24" s="279">
        <v>23</v>
      </c>
      <c r="AD24" s="104" t="str">
        <f t="shared" ca="1" si="5"/>
        <v>Schleck</v>
      </c>
      <c r="AE24" s="292">
        <f t="shared" ca="1" si="2"/>
        <v>52.004242049186956</v>
      </c>
    </row>
    <row r="25" spans="1:104" s="107" customFormat="1">
      <c r="A25" s="147"/>
      <c r="B25" s="148" t="s">
        <v>210</v>
      </c>
      <c r="C25" s="149"/>
      <c r="D25" s="149"/>
      <c r="E25" s="149"/>
      <c r="F25" s="149"/>
      <c r="G25" s="149"/>
      <c r="H25" s="149"/>
      <c r="I25" s="149"/>
      <c r="J25" s="149"/>
      <c r="K25" s="149"/>
      <c r="L25" s="149"/>
      <c r="M25" s="149">
        <v>24</v>
      </c>
      <c r="N25" s="149"/>
      <c r="O25" s="149"/>
      <c r="P25" s="149"/>
      <c r="Q25" s="149">
        <v>35</v>
      </c>
      <c r="R25" s="149"/>
      <c r="S25" s="149"/>
      <c r="T25" s="149"/>
      <c r="U25" s="149">
        <v>24</v>
      </c>
      <c r="V25" s="149">
        <v>26</v>
      </c>
      <c r="W25" s="149"/>
      <c r="X25" s="202">
        <f t="shared" ca="1" si="3"/>
        <v>109.05577635075116</v>
      </c>
      <c r="Y25" s="150"/>
      <c r="Z25" s="205">
        <f t="shared" ca="1" si="6"/>
        <v>109.05577635075116</v>
      </c>
      <c r="AA25" s="146">
        <f ca="1">COUNTIF(Teams!$4:$20,B25)</f>
        <v>0</v>
      </c>
      <c r="AB25" s="146">
        <f t="shared" ca="1" si="1"/>
        <v>17</v>
      </c>
      <c r="AC25" s="279">
        <v>24</v>
      </c>
      <c r="AD25" s="104" t="str">
        <f t="shared" ca="1" si="5"/>
        <v>Hesjedal</v>
      </c>
      <c r="AE25" s="292">
        <f t="shared" ca="1" si="2"/>
        <v>51.002726020143179</v>
      </c>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row>
    <row r="26" spans="1:104" s="108" customFormat="1">
      <c r="A26" s="141"/>
      <c r="B26" s="142" t="s">
        <v>78</v>
      </c>
      <c r="C26" s="127"/>
      <c r="D26" s="127"/>
      <c r="E26" s="127"/>
      <c r="F26" s="127"/>
      <c r="G26" s="127"/>
      <c r="H26" s="127"/>
      <c r="I26" s="127"/>
      <c r="J26" s="127"/>
      <c r="K26" s="127">
        <v>6</v>
      </c>
      <c r="L26" s="127"/>
      <c r="M26" s="127"/>
      <c r="N26" s="127"/>
      <c r="O26" s="127"/>
      <c r="P26" s="127"/>
      <c r="Q26" s="127"/>
      <c r="R26" s="127"/>
      <c r="S26" s="127"/>
      <c r="T26" s="127"/>
      <c r="U26" s="127"/>
      <c r="V26" s="127"/>
      <c r="W26" s="127"/>
      <c r="X26" s="201">
        <f t="shared" ca="1" si="3"/>
        <v>6.011569402067483</v>
      </c>
      <c r="Y26" s="128"/>
      <c r="Z26" s="204">
        <f t="shared" ca="1" si="6"/>
        <v>6.011569402067483</v>
      </c>
      <c r="AA26" s="146">
        <f ca="1">COUNTIF(Teams!$4:$20,B26)</f>
        <v>1</v>
      </c>
      <c r="AB26" s="146">
        <f t="shared" ca="1" si="1"/>
        <v>39</v>
      </c>
      <c r="AC26" s="279">
        <v>25</v>
      </c>
      <c r="AD26" s="104" t="str">
        <f t="shared" ca="1" si="5"/>
        <v>Taaramae</v>
      </c>
      <c r="AE26" s="292">
        <f t="shared" ca="1" si="2"/>
        <v>47.094909672091077</v>
      </c>
    </row>
    <row r="27" spans="1:104" s="107" customFormat="1">
      <c r="A27" s="147"/>
      <c r="B27" s="148" t="s">
        <v>82</v>
      </c>
      <c r="C27" s="149"/>
      <c r="D27" s="149"/>
      <c r="E27" s="149"/>
      <c r="F27" s="149"/>
      <c r="G27" s="149"/>
      <c r="H27" s="149"/>
      <c r="I27" s="149"/>
      <c r="J27" s="149"/>
      <c r="K27" s="149"/>
      <c r="L27" s="149">
        <v>14</v>
      </c>
      <c r="M27" s="149"/>
      <c r="N27" s="149"/>
      <c r="O27" s="149"/>
      <c r="P27" s="149"/>
      <c r="Q27" s="149"/>
      <c r="R27" s="149"/>
      <c r="S27" s="149"/>
      <c r="T27" s="149"/>
      <c r="U27" s="149"/>
      <c r="V27" s="149"/>
      <c r="W27" s="149"/>
      <c r="X27" s="202">
        <f t="shared" ca="1" si="3"/>
        <v>14.081791760144158</v>
      </c>
      <c r="Y27" s="150"/>
      <c r="Z27" s="205">
        <f t="shared" ca="1" si="6"/>
        <v>14.081791760144158</v>
      </c>
      <c r="AA27" s="146">
        <f ca="1">COUNTIF(Teams!$4:$20,B27)</f>
        <v>6</v>
      </c>
      <c r="AB27" s="146">
        <f t="shared" ca="1" si="1"/>
        <v>35</v>
      </c>
      <c r="AC27" s="279">
        <v>26</v>
      </c>
      <c r="AD27" s="104" t="str">
        <f t="shared" ca="1" si="5"/>
        <v>Sanchez</v>
      </c>
      <c r="AE27" s="292">
        <f t="shared" ca="1" si="2"/>
        <v>44.049657256064187</v>
      </c>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row>
    <row r="28" spans="1:104" s="108" customFormat="1">
      <c r="A28" s="141"/>
      <c r="B28" s="142" t="s">
        <v>137</v>
      </c>
      <c r="C28" s="127">
        <f>18+3</f>
        <v>21</v>
      </c>
      <c r="D28" s="127">
        <v>5</v>
      </c>
      <c r="E28" s="127">
        <v>5</v>
      </c>
      <c r="F28" s="127">
        <v>5</v>
      </c>
      <c r="G28" s="127">
        <v>5</v>
      </c>
      <c r="H28" s="127">
        <v>5</v>
      </c>
      <c r="I28" s="127">
        <v>6</v>
      </c>
      <c r="J28" s="127">
        <f>17+6</f>
        <v>23</v>
      </c>
      <c r="K28" s="127">
        <f>18+7</f>
        <v>25</v>
      </c>
      <c r="L28" s="127">
        <f>17+6</f>
        <v>23</v>
      </c>
      <c r="M28" s="127">
        <f>10+6</f>
        <v>16</v>
      </c>
      <c r="N28" s="127"/>
      <c r="O28" s="127"/>
      <c r="P28" s="127"/>
      <c r="Q28" s="127"/>
      <c r="R28" s="127"/>
      <c r="S28" s="127"/>
      <c r="T28" s="127">
        <v>11</v>
      </c>
      <c r="U28" s="127"/>
      <c r="V28" s="127"/>
      <c r="W28" s="127"/>
      <c r="X28" s="201">
        <f t="shared" ca="1" si="3"/>
        <v>150.05723093701624</v>
      </c>
      <c r="Y28" s="128">
        <v>22</v>
      </c>
      <c r="Z28" s="204">
        <f t="shared" ca="1" si="6"/>
        <v>172.05723093701624</v>
      </c>
      <c r="AA28" s="146">
        <f ca="1">COUNTIF(Teams!$4:$20,B28)</f>
        <v>4</v>
      </c>
      <c r="AB28" s="146">
        <f t="shared" ca="1" si="1"/>
        <v>13</v>
      </c>
      <c r="AC28" s="279">
        <v>27</v>
      </c>
      <c r="AD28" s="104" t="str">
        <f t="shared" ca="1" si="5"/>
        <v>Vanendert</v>
      </c>
      <c r="AE28" s="292">
        <f t="shared" ca="1" si="2"/>
        <v>30.052996875907116</v>
      </c>
    </row>
    <row r="29" spans="1:104" s="107" customFormat="1">
      <c r="A29" s="147"/>
      <c r="B29" s="148" t="s">
        <v>97</v>
      </c>
      <c r="C29" s="149"/>
      <c r="D29" s="149">
        <v>22</v>
      </c>
      <c r="E29" s="149"/>
      <c r="F29" s="149">
        <f>17</f>
        <v>17</v>
      </c>
      <c r="G29" s="149"/>
      <c r="H29" s="149">
        <v>15</v>
      </c>
      <c r="I29" s="149"/>
      <c r="J29" s="149"/>
      <c r="K29" s="149"/>
      <c r="L29" s="149"/>
      <c r="M29" s="149"/>
      <c r="N29" s="149"/>
      <c r="O29" s="149"/>
      <c r="P29" s="149"/>
      <c r="Q29" s="149"/>
      <c r="R29" s="149"/>
      <c r="S29" s="149"/>
      <c r="T29" s="149"/>
      <c r="U29" s="149"/>
      <c r="V29" s="149"/>
      <c r="W29" s="149"/>
      <c r="X29" s="202">
        <f t="shared" ca="1" si="3"/>
        <v>54.021480097178738</v>
      </c>
      <c r="Y29" s="150"/>
      <c r="Z29" s="205">
        <f t="shared" ca="1" si="6"/>
        <v>54.021480097178738</v>
      </c>
      <c r="AA29" s="146">
        <f ca="1">COUNTIF(Teams!$4:$20,B29)</f>
        <v>2</v>
      </c>
      <c r="AB29" s="146">
        <f t="shared" ca="1" si="1"/>
        <v>22</v>
      </c>
      <c r="AC29" s="279">
        <v>28</v>
      </c>
      <c r="AD29" s="104" t="str">
        <f t="shared" ca="1" si="5"/>
        <v>Freire</v>
      </c>
      <c r="AE29" s="292">
        <f t="shared" ca="1" si="2"/>
        <v>29.051217514035162</v>
      </c>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row>
    <row r="30" spans="1:104" s="108" customFormat="1">
      <c r="A30" s="141"/>
      <c r="B30" s="142" t="s">
        <v>170</v>
      </c>
      <c r="C30" s="127">
        <v>12</v>
      </c>
      <c r="D30" s="127">
        <f>11+2</f>
        <v>13</v>
      </c>
      <c r="E30" s="127">
        <v>2</v>
      </c>
      <c r="F30" s="127">
        <f>16+3</f>
        <v>19</v>
      </c>
      <c r="G30" s="127">
        <v>3</v>
      </c>
      <c r="H30" s="127">
        <v>3</v>
      </c>
      <c r="I30" s="127">
        <f>10+4</f>
        <v>14</v>
      </c>
      <c r="J30" s="127">
        <f>24+8+1</f>
        <v>33</v>
      </c>
      <c r="K30" s="127">
        <f>22+8</f>
        <v>30</v>
      </c>
      <c r="L30" s="127">
        <f>18+7</f>
        <v>25</v>
      </c>
      <c r="M30" s="127">
        <f>11+7</f>
        <v>18</v>
      </c>
      <c r="N30" s="127">
        <f>22+8</f>
        <v>30</v>
      </c>
      <c r="O30" s="127">
        <f>9+8</f>
        <v>17</v>
      </c>
      <c r="P30" s="127">
        <f>15+8</f>
        <v>23</v>
      </c>
      <c r="Q30" s="127">
        <f>9+8</f>
        <v>17</v>
      </c>
      <c r="R30" s="127">
        <v>8</v>
      </c>
      <c r="S30" s="127">
        <f>15+8</f>
        <v>23</v>
      </c>
      <c r="T30" s="127">
        <f>19+8</f>
        <v>27</v>
      </c>
      <c r="U30" s="127">
        <v>8</v>
      </c>
      <c r="V30" s="127">
        <f>10+8</f>
        <v>18</v>
      </c>
      <c r="W30" s="127">
        <v>8</v>
      </c>
      <c r="X30" s="201">
        <f t="shared" ca="1" si="3"/>
        <v>351.01312799751599</v>
      </c>
      <c r="Y30" s="128">
        <v>52</v>
      </c>
      <c r="Z30" s="204">
        <f t="shared" ca="1" si="6"/>
        <v>403.01312799751599</v>
      </c>
      <c r="AA30" s="146">
        <f ca="1">COUNTIF(Teams!$4:$20,B30)</f>
        <v>5</v>
      </c>
      <c r="AB30" s="146">
        <f t="shared" ca="1" si="1"/>
        <v>4</v>
      </c>
      <c r="AC30" s="279">
        <v>29</v>
      </c>
      <c r="AD30" s="104" t="str">
        <f t="shared" ca="1" si="5"/>
        <v>Gesink</v>
      </c>
      <c r="AE30" s="292">
        <f t="shared" ca="1" si="2"/>
        <v>27.056902252550096</v>
      </c>
    </row>
    <row r="31" spans="1:104" s="107" customFormat="1">
      <c r="A31" s="147"/>
      <c r="B31" s="148" t="s">
        <v>83</v>
      </c>
      <c r="C31" s="149"/>
      <c r="D31" s="149"/>
      <c r="E31" s="149">
        <v>22</v>
      </c>
      <c r="F31" s="149"/>
      <c r="G31" s="149">
        <f>30</f>
        <v>30</v>
      </c>
      <c r="H31" s="149">
        <f>18+1</f>
        <v>19</v>
      </c>
      <c r="I31" s="149">
        <f>19+1</f>
        <v>20</v>
      </c>
      <c r="J31" s="149">
        <v>1</v>
      </c>
      <c r="K31" s="149">
        <v>1</v>
      </c>
      <c r="L31" s="149">
        <v>1</v>
      </c>
      <c r="M31" s="149">
        <v>1</v>
      </c>
      <c r="N31" s="149">
        <v>1</v>
      </c>
      <c r="O31" s="149"/>
      <c r="P31" s="149"/>
      <c r="Q31" s="149"/>
      <c r="R31" s="149"/>
      <c r="S31" s="149"/>
      <c r="T31" s="149"/>
      <c r="U31" s="149"/>
      <c r="V31" s="149"/>
      <c r="W31" s="149"/>
      <c r="X31" s="202">
        <f t="shared" ca="1" si="3"/>
        <v>96.077681723540607</v>
      </c>
      <c r="Y31" s="150"/>
      <c r="Z31" s="205">
        <f t="shared" ca="1" si="6"/>
        <v>96.077681723540607</v>
      </c>
      <c r="AA31" s="146">
        <f ca="1">COUNTIF(Teams!$4:$20,B31)</f>
        <v>1</v>
      </c>
      <c r="AB31" s="146">
        <f t="shared" ca="1" si="1"/>
        <v>18</v>
      </c>
      <c r="AC31" s="279">
        <v>30</v>
      </c>
      <c r="AD31" s="104" t="str">
        <f t="shared" ca="1" si="5"/>
        <v>Vinokourov</v>
      </c>
      <c r="AE31" s="292">
        <f t="shared" ca="1" si="2"/>
        <v>24.030704328836315</v>
      </c>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row>
    <row r="32" spans="1:104" s="108" customFormat="1">
      <c r="A32" s="141"/>
      <c r="B32" s="142" t="s">
        <v>127</v>
      </c>
      <c r="C32" s="127"/>
      <c r="D32" s="127"/>
      <c r="E32" s="127"/>
      <c r="F32" s="127">
        <v>14</v>
      </c>
      <c r="G32" s="127"/>
      <c r="H32" s="127"/>
      <c r="I32" s="127"/>
      <c r="J32" s="127"/>
      <c r="K32" s="127"/>
      <c r="L32" s="127"/>
      <c r="M32" s="127"/>
      <c r="N32" s="127"/>
      <c r="O32" s="127"/>
      <c r="P32" s="127"/>
      <c r="Q32" s="127"/>
      <c r="R32" s="127"/>
      <c r="S32" s="127"/>
      <c r="T32" s="127"/>
      <c r="U32" s="127"/>
      <c r="V32" s="127"/>
      <c r="W32" s="127"/>
      <c r="X32" s="201">
        <f t="shared" ca="1" si="3"/>
        <v>14.074804695683621</v>
      </c>
      <c r="Y32" s="128"/>
      <c r="Z32" s="204">
        <f t="shared" ca="1" si="6"/>
        <v>14.074804695683621</v>
      </c>
      <c r="AA32" s="146">
        <f ca="1">COUNTIF(Teams!$4:$20,B32)</f>
        <v>1</v>
      </c>
      <c r="AB32" s="146">
        <f t="shared" ca="1" si="1"/>
        <v>36</v>
      </c>
      <c r="AC32" s="279">
        <v>31</v>
      </c>
      <c r="AD32" s="104" t="str">
        <f t="shared" ca="1" si="5"/>
        <v>Feillu</v>
      </c>
      <c r="AE32" s="292">
        <f t="shared" ca="1" si="2"/>
        <v>23.056302242437248</v>
      </c>
    </row>
    <row r="33" spans="1:104" s="107" customFormat="1">
      <c r="A33" s="147"/>
      <c r="B33" s="148" t="s">
        <v>87</v>
      </c>
      <c r="C33" s="149"/>
      <c r="D33" s="149"/>
      <c r="E33" s="149">
        <v>15</v>
      </c>
      <c r="F33" s="149"/>
      <c r="G33" s="149"/>
      <c r="H33" s="149"/>
      <c r="I33" s="149"/>
      <c r="J33" s="149"/>
      <c r="K33" s="149"/>
      <c r="L33" s="149"/>
      <c r="M33" s="149"/>
      <c r="N33" s="149"/>
      <c r="O33" s="149"/>
      <c r="P33" s="149"/>
      <c r="Q33" s="149"/>
      <c r="R33" s="149"/>
      <c r="S33" s="149"/>
      <c r="T33" s="149"/>
      <c r="U33" s="149"/>
      <c r="V33" s="149"/>
      <c r="W33" s="149"/>
      <c r="X33" s="202">
        <f t="shared" ca="1" si="3"/>
        <v>15.088807891585148</v>
      </c>
      <c r="Y33" s="150"/>
      <c r="Z33" s="205">
        <f t="shared" ca="1" si="6"/>
        <v>15.088807891585148</v>
      </c>
      <c r="AA33" s="146">
        <f ca="1">COUNTIF(Teams!$4:$20,B33)</f>
        <v>9</v>
      </c>
      <c r="AB33" s="146">
        <f t="shared" ca="1" si="1"/>
        <v>34</v>
      </c>
      <c r="AC33" s="279">
        <v>32</v>
      </c>
      <c r="AD33" s="104" t="str">
        <f t="shared" ca="1" si="5"/>
        <v>Basso</v>
      </c>
      <c r="AE33" s="292">
        <f t="shared" ca="1" si="2"/>
        <v>22.057007483883186</v>
      </c>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row>
    <row r="34" spans="1:104" s="108" customFormat="1">
      <c r="A34" s="141"/>
      <c r="B34" s="142" t="s">
        <v>207</v>
      </c>
      <c r="C34" s="127"/>
      <c r="D34" s="127">
        <v>7</v>
      </c>
      <c r="E34" s="127"/>
      <c r="F34" s="127"/>
      <c r="G34" s="127"/>
      <c r="H34" s="127"/>
      <c r="I34" s="127"/>
      <c r="J34" s="127">
        <f>19</f>
        <v>19</v>
      </c>
      <c r="K34" s="127">
        <v>10</v>
      </c>
      <c r="L34" s="127"/>
      <c r="M34" s="127">
        <v>18</v>
      </c>
      <c r="N34" s="127">
        <f>35+2+4</f>
        <v>41</v>
      </c>
      <c r="O34" s="127">
        <f>2+4</f>
        <v>6</v>
      </c>
      <c r="P34" s="127">
        <f>2+4</f>
        <v>6</v>
      </c>
      <c r="Q34" s="127">
        <f>2+4</f>
        <v>6</v>
      </c>
      <c r="R34" s="127">
        <f>2+4</f>
        <v>6</v>
      </c>
      <c r="S34" s="127">
        <f>2+2</f>
        <v>4</v>
      </c>
      <c r="T34" s="127">
        <f>22+3+2</f>
        <v>27</v>
      </c>
      <c r="U34" s="127">
        <f>3+2</f>
        <v>5</v>
      </c>
      <c r="V34" s="127">
        <f>3+2</f>
        <v>5</v>
      </c>
      <c r="W34" s="127">
        <f>2+3</f>
        <v>5</v>
      </c>
      <c r="X34" s="201">
        <f t="shared" ca="1" si="3"/>
        <v>165.02067490607044</v>
      </c>
      <c r="Y34" s="128">
        <f>36+3</f>
        <v>39</v>
      </c>
      <c r="Z34" s="204">
        <f t="shared" ca="1" si="6"/>
        <v>204.02067490607044</v>
      </c>
      <c r="AA34" s="146">
        <f ca="1">COUNTIF(Teams!$4:$20,B34)</f>
        <v>3</v>
      </c>
      <c r="AB34" s="146">
        <f t="shared" ca="1" si="1"/>
        <v>11</v>
      </c>
      <c r="AC34" s="279">
        <v>33</v>
      </c>
      <c r="AD34" s="104" t="str">
        <f t="shared" ca="1" si="5"/>
        <v>Cobo Acebo</v>
      </c>
      <c r="AE34" s="292">
        <f t="shared" ca="1" si="2"/>
        <v>16.090041268473282</v>
      </c>
    </row>
    <row r="35" spans="1:104" s="107" customFormat="1">
      <c r="A35" s="147"/>
      <c r="B35" s="148" t="s">
        <v>165</v>
      </c>
      <c r="C35" s="149"/>
      <c r="D35" s="149"/>
      <c r="E35" s="149"/>
      <c r="F35" s="149"/>
      <c r="G35" s="149"/>
      <c r="H35" s="149"/>
      <c r="I35" s="149"/>
      <c r="J35" s="149"/>
      <c r="K35" s="149"/>
      <c r="L35" s="149"/>
      <c r="M35" s="149"/>
      <c r="N35" s="149"/>
      <c r="O35" s="149"/>
      <c r="P35" s="149"/>
      <c r="Q35" s="149"/>
      <c r="R35" s="149"/>
      <c r="S35" s="149"/>
      <c r="T35" s="149"/>
      <c r="U35" s="149"/>
      <c r="V35" s="149"/>
      <c r="W35" s="149"/>
      <c r="X35" s="202">
        <f t="shared" ca="1" si="3"/>
        <v>3.2513345696250175E-2</v>
      </c>
      <c r="Y35" s="150"/>
      <c r="Z35" s="205">
        <f t="shared" ca="1" si="6"/>
        <v>3.2513345696250175E-2</v>
      </c>
      <c r="AA35" s="146">
        <f ca="1">COUNTIF(Teams!$4:$20,B35)</f>
        <v>0</v>
      </c>
      <c r="AB35" s="146">
        <f t="shared" ca="1" si="1"/>
        <v>44</v>
      </c>
      <c r="AC35" s="279">
        <v>34</v>
      </c>
      <c r="AD35" s="104" t="str">
        <f t="shared" ca="1" si="5"/>
        <v>Rojas</v>
      </c>
      <c r="AE35" s="292">
        <f t="shared" ca="1" si="2"/>
        <v>15.088807891585148</v>
      </c>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row>
    <row r="36" spans="1:104" s="108" customFormat="1">
      <c r="A36" s="141"/>
      <c r="B36" s="142" t="s">
        <v>130</v>
      </c>
      <c r="C36" s="127"/>
      <c r="D36" s="127">
        <f>35+4+4</f>
        <v>43</v>
      </c>
      <c r="E36" s="127">
        <f>20+5+2</f>
        <v>27</v>
      </c>
      <c r="F36" s="127">
        <f>35+5+3</f>
        <v>43</v>
      </c>
      <c r="G36" s="127">
        <f>22+5+3</f>
        <v>30</v>
      </c>
      <c r="H36" s="127">
        <f>5+3</f>
        <v>8</v>
      </c>
      <c r="I36" s="127">
        <f>35+3+5+3</f>
        <v>46</v>
      </c>
      <c r="J36" s="127">
        <v>5</v>
      </c>
      <c r="K36" s="127">
        <v>5</v>
      </c>
      <c r="L36" s="127">
        <v>5</v>
      </c>
      <c r="M36" s="127">
        <v>5</v>
      </c>
      <c r="N36" s="127">
        <v>5</v>
      </c>
      <c r="O36" s="127">
        <f>20+5</f>
        <v>25</v>
      </c>
      <c r="P36" s="127">
        <f>30+5</f>
        <v>35</v>
      </c>
      <c r="Q36" s="127">
        <f>30+5</f>
        <v>35</v>
      </c>
      <c r="R36" s="127">
        <f>17+5</f>
        <v>22</v>
      </c>
      <c r="S36" s="127">
        <v>5</v>
      </c>
      <c r="T36" s="127">
        <v>5</v>
      </c>
      <c r="U36" s="127">
        <f>26+5</f>
        <v>31</v>
      </c>
      <c r="V36" s="127">
        <v>5</v>
      </c>
      <c r="W36" s="127">
        <f>30+5</f>
        <v>35</v>
      </c>
      <c r="X36" s="201">
        <f t="shared" ca="1" si="3"/>
        <v>420.09516070075659</v>
      </c>
      <c r="Y36" s="128">
        <v>10</v>
      </c>
      <c r="Z36" s="204">
        <f t="shared" ca="1" si="6"/>
        <v>430.09516070075659</v>
      </c>
      <c r="AA36" s="146">
        <f ca="1">COUNTIF(Teams!$4:$20,B36)</f>
        <v>10</v>
      </c>
      <c r="AB36" s="146">
        <f t="shared" ca="1" si="1"/>
        <v>2</v>
      </c>
      <c r="AC36" s="279">
        <v>35</v>
      </c>
      <c r="AD36" s="104" t="str">
        <f t="shared" ca="1" si="5"/>
        <v>Martin</v>
      </c>
      <c r="AE36" s="292">
        <f t="shared" ca="1" si="2"/>
        <v>14.081791760144158</v>
      </c>
    </row>
    <row r="37" spans="1:104" s="107" customFormat="1">
      <c r="A37" s="147"/>
      <c r="B37" s="148" t="s">
        <v>68</v>
      </c>
      <c r="C37" s="149"/>
      <c r="D37" s="149"/>
      <c r="E37" s="149"/>
      <c r="F37" s="149">
        <f>18</f>
        <v>18</v>
      </c>
      <c r="G37" s="149"/>
      <c r="H37" s="149">
        <v>9</v>
      </c>
      <c r="I37" s="149">
        <v>7</v>
      </c>
      <c r="J37" s="149">
        <v>10</v>
      </c>
      <c r="K37" s="149"/>
      <c r="L37" s="149"/>
      <c r="M37" s="149"/>
      <c r="N37" s="149"/>
      <c r="O37" s="149"/>
      <c r="P37" s="149"/>
      <c r="Q37" s="149"/>
      <c r="R37" s="149"/>
      <c r="S37" s="149"/>
      <c r="T37" s="149"/>
      <c r="U37" s="149"/>
      <c r="V37" s="149"/>
      <c r="W37" s="149"/>
      <c r="X37" s="202">
        <f t="shared" ca="1" si="3"/>
        <v>44.049657256064187</v>
      </c>
      <c r="Y37" s="150"/>
      <c r="Z37" s="205">
        <f t="shared" ca="1" si="6"/>
        <v>44.049657256064187</v>
      </c>
      <c r="AA37" s="146">
        <f ca="1">COUNTIF(Teams!$4:$20,B37)</f>
        <v>9</v>
      </c>
      <c r="AB37" s="146">
        <f t="shared" ca="1" si="1"/>
        <v>26</v>
      </c>
      <c r="AC37" s="279">
        <v>36</v>
      </c>
      <c r="AD37" s="104" t="str">
        <f t="shared" ca="1" si="5"/>
        <v>Poels</v>
      </c>
      <c r="AE37" s="292">
        <f t="shared" ca="1" si="2"/>
        <v>14.074804695683621</v>
      </c>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row>
    <row r="38" spans="1:104" s="108" customFormat="1">
      <c r="A38" s="141"/>
      <c r="B38" s="142" t="s">
        <v>159</v>
      </c>
      <c r="C38" s="127"/>
      <c r="D38" s="127"/>
      <c r="E38" s="127"/>
      <c r="F38" s="127">
        <v>6</v>
      </c>
      <c r="G38" s="127"/>
      <c r="H38" s="127"/>
      <c r="I38" s="127"/>
      <c r="J38" s="127">
        <v>14</v>
      </c>
      <c r="K38" s="127">
        <v>16</v>
      </c>
      <c r="L38" s="127"/>
      <c r="M38" s="127"/>
      <c r="N38" s="127">
        <f>16</f>
        <v>16</v>
      </c>
      <c r="O38" s="127"/>
      <c r="P38" s="127"/>
      <c r="Q38" s="127"/>
      <c r="R38" s="127"/>
      <c r="S38" s="127"/>
      <c r="T38" s="127"/>
      <c r="U38" s="127"/>
      <c r="V38" s="127"/>
      <c r="W38" s="127"/>
      <c r="X38" s="201">
        <f t="shared" ca="1" si="3"/>
        <v>52.004242049186956</v>
      </c>
      <c r="Y38" s="128"/>
      <c r="Z38" s="204">
        <f t="shared" ca="1" si="6"/>
        <v>52.004242049186956</v>
      </c>
      <c r="AA38" s="146">
        <f ca="1">COUNTIF(Teams!$4:$20,B38)</f>
        <v>8</v>
      </c>
      <c r="AB38" s="146">
        <f t="shared" ca="1" si="1"/>
        <v>23</v>
      </c>
      <c r="AC38" s="279">
        <v>37</v>
      </c>
      <c r="AD38" s="104" t="str">
        <f t="shared" ca="1" si="5"/>
        <v>Gerrans</v>
      </c>
      <c r="AE38" s="292">
        <f t="shared" ca="1" si="2"/>
        <v>13.020392163981901</v>
      </c>
    </row>
    <row r="39" spans="1:104" s="107" customFormat="1">
      <c r="A39" s="147"/>
      <c r="B39" s="148" t="s">
        <v>88</v>
      </c>
      <c r="C39" s="149"/>
      <c r="D39" s="149"/>
      <c r="E39" s="149"/>
      <c r="F39" s="149"/>
      <c r="G39" s="149"/>
      <c r="H39" s="149"/>
      <c r="I39" s="149"/>
      <c r="J39" s="149">
        <f>22+7</f>
        <v>29</v>
      </c>
      <c r="K39" s="149">
        <v>1</v>
      </c>
      <c r="L39" s="149"/>
      <c r="M39" s="149"/>
      <c r="N39" s="149"/>
      <c r="O39" s="149"/>
      <c r="P39" s="149"/>
      <c r="Q39" s="149"/>
      <c r="R39" s="149"/>
      <c r="S39" s="149"/>
      <c r="T39" s="149"/>
      <c r="U39" s="149"/>
      <c r="V39" s="149">
        <v>17</v>
      </c>
      <c r="W39" s="149"/>
      <c r="X39" s="202">
        <f t="shared" ca="1" si="3"/>
        <v>47.094909672091077</v>
      </c>
      <c r="Y39" s="150"/>
      <c r="Z39" s="205">
        <f t="shared" ca="1" si="6"/>
        <v>47.094909672091077</v>
      </c>
      <c r="AA39" s="146">
        <f ca="1">COUNTIF(Teams!$4:$20,B39)</f>
        <v>4</v>
      </c>
      <c r="AB39" s="146">
        <f t="shared" ca="1" si="1"/>
        <v>25</v>
      </c>
      <c r="AC39" s="279">
        <v>38</v>
      </c>
      <c r="AD39" s="104" t="str">
        <f t="shared" ca="1" si="5"/>
        <v>Westra</v>
      </c>
      <c r="AE39" s="292">
        <f t="shared" ca="1" si="2"/>
        <v>9.0170346901431255</v>
      </c>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row>
    <row r="40" spans="1:104" s="108" customFormat="1">
      <c r="A40" s="141"/>
      <c r="B40" s="142" t="s">
        <v>143</v>
      </c>
      <c r="C40" s="127"/>
      <c r="D40" s="127">
        <v>20</v>
      </c>
      <c r="E40" s="127"/>
      <c r="F40" s="127"/>
      <c r="G40" s="127"/>
      <c r="H40" s="127"/>
      <c r="I40" s="127"/>
      <c r="J40" s="127"/>
      <c r="K40" s="127"/>
      <c r="L40" s="127"/>
      <c r="M40" s="127">
        <v>9</v>
      </c>
      <c r="N40" s="127"/>
      <c r="O40" s="127"/>
      <c r="P40" s="127"/>
      <c r="Q40" s="127"/>
      <c r="R40" s="127"/>
      <c r="S40" s="127">
        <v>8</v>
      </c>
      <c r="T40" s="127">
        <f>35+1</f>
        <v>36</v>
      </c>
      <c r="U40" s="127">
        <v>1</v>
      </c>
      <c r="V40" s="127">
        <v>1</v>
      </c>
      <c r="W40" s="127">
        <v>1</v>
      </c>
      <c r="X40" s="201">
        <f t="shared" ca="1" si="3"/>
        <v>76.03443225662204</v>
      </c>
      <c r="Y40" s="128">
        <f>12+1</f>
        <v>13</v>
      </c>
      <c r="Z40" s="204">
        <f t="shared" ca="1" si="6"/>
        <v>89.03443225662204</v>
      </c>
      <c r="AA40" s="146">
        <f ca="1">COUNTIF(Teams!$4:$20,B40)</f>
        <v>6</v>
      </c>
      <c r="AB40" s="146">
        <f t="shared" ca="1" si="1"/>
        <v>20</v>
      </c>
      <c r="AC40" s="279">
        <v>39</v>
      </c>
      <c r="AD40" s="104" t="str">
        <f t="shared" ca="1" si="5"/>
        <v>Leipheimer</v>
      </c>
      <c r="AE40" s="292">
        <f t="shared" ca="1" si="2"/>
        <v>6.011569402067483</v>
      </c>
    </row>
    <row r="41" spans="1:104" s="107" customFormat="1">
      <c r="A41" s="147"/>
      <c r="B41" s="148" t="s">
        <v>103</v>
      </c>
      <c r="C41" s="149"/>
      <c r="D41" s="149">
        <v>15</v>
      </c>
      <c r="E41" s="149"/>
      <c r="F41" s="149"/>
      <c r="G41" s="149"/>
      <c r="H41" s="149"/>
      <c r="I41" s="149"/>
      <c r="J41" s="149"/>
      <c r="K41" s="149">
        <f>20+3</f>
        <v>23</v>
      </c>
      <c r="L41" s="149">
        <v>2</v>
      </c>
      <c r="M41" s="149">
        <f>17+3</f>
        <v>20</v>
      </c>
      <c r="N41" s="149">
        <f>24+6</f>
        <v>30</v>
      </c>
      <c r="O41" s="149">
        <f>8+6</f>
        <v>14</v>
      </c>
      <c r="P41" s="149">
        <f>9+6</f>
        <v>15</v>
      </c>
      <c r="Q41" s="149">
        <f>6</f>
        <v>6</v>
      </c>
      <c r="R41" s="149">
        <v>6</v>
      </c>
      <c r="S41" s="149">
        <f>10+7</f>
        <v>17</v>
      </c>
      <c r="T41" s="149">
        <f>20+7</f>
        <v>27</v>
      </c>
      <c r="U41" s="149">
        <v>7</v>
      </c>
      <c r="V41" s="149">
        <v>7</v>
      </c>
      <c r="W41" s="149">
        <v>7</v>
      </c>
      <c r="X41" s="202">
        <f t="shared" ca="1" si="3"/>
        <v>196.02644451917828</v>
      </c>
      <c r="Y41" s="150">
        <v>48</v>
      </c>
      <c r="Z41" s="205">
        <f t="shared" ca="1" si="6"/>
        <v>244.02644451917828</v>
      </c>
      <c r="AA41" s="146">
        <f ca="1">COUNTIF(Teams!$4:$20,B41)</f>
        <v>9</v>
      </c>
      <c r="AB41" s="146">
        <f t="shared" ca="1" si="1"/>
        <v>8</v>
      </c>
      <c r="AC41" s="279">
        <v>40</v>
      </c>
      <c r="AD41" s="104" t="str">
        <f t="shared" ca="1" si="5"/>
        <v>Danielson</v>
      </c>
      <c r="AE41" s="292">
        <f t="shared" ca="1" si="2"/>
        <v>7.8032900483059636E-2</v>
      </c>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row>
    <row r="42" spans="1:104" s="108" customFormat="1">
      <c r="A42" s="141"/>
      <c r="B42" s="142" t="s">
        <v>220</v>
      </c>
      <c r="C42" s="127"/>
      <c r="D42" s="127"/>
      <c r="E42" s="127"/>
      <c r="F42" s="127">
        <v>11</v>
      </c>
      <c r="G42" s="127"/>
      <c r="H42" s="127"/>
      <c r="I42" s="127"/>
      <c r="J42" s="127"/>
      <c r="K42" s="127"/>
      <c r="L42" s="127"/>
      <c r="M42" s="127"/>
      <c r="N42" s="127"/>
      <c r="O42" s="127">
        <v>6</v>
      </c>
      <c r="P42" s="127"/>
      <c r="Q42" s="127"/>
      <c r="R42" s="127"/>
      <c r="S42" s="127"/>
      <c r="T42" s="127">
        <v>13</v>
      </c>
      <c r="U42" s="127"/>
      <c r="V42" s="127"/>
      <c r="W42" s="127"/>
      <c r="X42" s="201">
        <f t="shared" ca="1" si="3"/>
        <v>30.052996875907116</v>
      </c>
      <c r="Y42" s="128"/>
      <c r="Z42" s="204">
        <f t="shared" ca="1" si="6"/>
        <v>30.052996875907116</v>
      </c>
      <c r="AA42" s="146">
        <f ca="1">COUNTIF(Teams!$4:$20,B42)</f>
        <v>1</v>
      </c>
      <c r="AB42" s="146">
        <f t="shared" ca="1" si="1"/>
        <v>27</v>
      </c>
      <c r="AC42" s="279">
        <v>41</v>
      </c>
      <c r="AD42" s="104" t="str">
        <f t="shared" ca="1" si="5"/>
        <v>Kittel</v>
      </c>
      <c r="AE42" s="292">
        <f t="shared" ca="1" si="2"/>
        <v>7.3960276948728351E-2</v>
      </c>
    </row>
    <row r="43" spans="1:104" s="107" customFormat="1">
      <c r="A43" s="147" t="s">
        <v>129</v>
      </c>
      <c r="B43" s="148" t="s">
        <v>236</v>
      </c>
      <c r="C43" s="149">
        <v>14</v>
      </c>
      <c r="D43" s="149"/>
      <c r="E43" s="149">
        <v>13</v>
      </c>
      <c r="F43" s="149">
        <f>26</f>
        <v>26</v>
      </c>
      <c r="G43" s="149">
        <f>12</f>
        <v>12</v>
      </c>
      <c r="H43" s="149"/>
      <c r="I43" s="149"/>
      <c r="J43" s="149"/>
      <c r="K43" s="149"/>
      <c r="L43" s="149">
        <f>19</f>
        <v>19</v>
      </c>
      <c r="M43" s="149"/>
      <c r="N43" s="149"/>
      <c r="O43" s="149"/>
      <c r="P43" s="149">
        <v>17</v>
      </c>
      <c r="Q43" s="149"/>
      <c r="R43" s="149"/>
      <c r="S43" s="149"/>
      <c r="T43" s="149"/>
      <c r="U43" s="149"/>
      <c r="V43" s="149">
        <v>24</v>
      </c>
      <c r="W43" s="149"/>
      <c r="X43" s="202">
        <f t="shared" ca="1" si="3"/>
        <v>125.04896283040587</v>
      </c>
      <c r="Y43" s="150"/>
      <c r="Z43" s="205">
        <f t="shared" ca="1" si="6"/>
        <v>125.04896283040587</v>
      </c>
      <c r="AA43" s="146">
        <f ca="1">COUNTIF(Teams!$4:$20,B43)</f>
        <v>1</v>
      </c>
      <c r="AB43" s="146">
        <f t="shared" ca="1" si="1"/>
        <v>16</v>
      </c>
      <c r="AC43" s="279">
        <v>42</v>
      </c>
      <c r="AD43" s="104" t="str">
        <f t="shared" ca="1" si="5"/>
        <v>Cooke</v>
      </c>
      <c r="AE43" s="292">
        <f t="shared" ca="1" si="2"/>
        <v>6.0385900442030335E-2</v>
      </c>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row>
    <row r="44" spans="1:104" s="108" customFormat="1">
      <c r="A44" s="141"/>
      <c r="B44" s="142" t="s">
        <v>69</v>
      </c>
      <c r="C44" s="127"/>
      <c r="D44" s="127"/>
      <c r="E44" s="127"/>
      <c r="F44" s="127"/>
      <c r="G44" s="127"/>
      <c r="H44" s="127"/>
      <c r="I44" s="127"/>
      <c r="J44" s="127"/>
      <c r="K44" s="127"/>
      <c r="L44" s="127"/>
      <c r="M44" s="127"/>
      <c r="N44" s="127"/>
      <c r="O44" s="127"/>
      <c r="P44" s="127"/>
      <c r="Q44" s="127"/>
      <c r="R44" s="127"/>
      <c r="S44" s="127">
        <v>24</v>
      </c>
      <c r="T44" s="127"/>
      <c r="U44" s="127"/>
      <c r="V44" s="127"/>
      <c r="W44" s="127"/>
      <c r="X44" s="201">
        <f t="shared" ca="1" si="3"/>
        <v>24.030704328836315</v>
      </c>
      <c r="Y44" s="128"/>
      <c r="Z44" s="204">
        <f t="shared" ca="1" si="6"/>
        <v>24.030704328836315</v>
      </c>
      <c r="AA44" s="146">
        <f ca="1">COUNTIF(Teams!$4:$20,B44)</f>
        <v>1</v>
      </c>
      <c r="AB44" s="146">
        <f t="shared" ca="1" si="1"/>
        <v>30</v>
      </c>
      <c r="AC44" s="279">
        <v>43</v>
      </c>
      <c r="AD44" s="104" t="str">
        <f t="shared" ca="1" si="5"/>
        <v>Hoogerland</v>
      </c>
      <c r="AE44" s="292">
        <f t="shared" ca="1" si="2"/>
        <v>4.953592998422076E-2</v>
      </c>
    </row>
    <row r="45" spans="1:104" s="107" customFormat="1">
      <c r="A45" s="147"/>
      <c r="B45" s="148" t="s">
        <v>89</v>
      </c>
      <c r="C45" s="149"/>
      <c r="D45" s="149"/>
      <c r="E45" s="149"/>
      <c r="F45" s="149"/>
      <c r="G45" s="149"/>
      <c r="H45" s="149"/>
      <c r="I45" s="149"/>
      <c r="J45" s="149"/>
      <c r="K45" s="149"/>
      <c r="L45" s="149"/>
      <c r="M45" s="149">
        <f>35+5</f>
        <v>40</v>
      </c>
      <c r="N45" s="149"/>
      <c r="O45" s="149"/>
      <c r="P45" s="149"/>
      <c r="Q45" s="149">
        <v>2</v>
      </c>
      <c r="R45" s="149">
        <f>26+1</f>
        <v>27</v>
      </c>
      <c r="S45" s="149">
        <f>35+5</f>
        <v>40</v>
      </c>
      <c r="T45" s="149">
        <v>5</v>
      </c>
      <c r="U45" s="149">
        <v>5</v>
      </c>
      <c r="V45" s="149">
        <v>5</v>
      </c>
      <c r="W45" s="149">
        <v>5</v>
      </c>
      <c r="X45" s="202">
        <f t="shared" ca="1" si="3"/>
        <v>129.0386807353191</v>
      </c>
      <c r="Y45" s="150">
        <v>10</v>
      </c>
      <c r="Z45" s="205">
        <f t="shared" ca="1" si="6"/>
        <v>139.0386807353191</v>
      </c>
      <c r="AA45" s="146">
        <f ca="1">COUNTIF(Teams!$4:$20,B45)</f>
        <v>3</v>
      </c>
      <c r="AB45" s="146">
        <f t="shared" ca="1" si="1"/>
        <v>15</v>
      </c>
      <c r="AC45" s="279">
        <v>44</v>
      </c>
      <c r="AD45" s="104" t="str">
        <f t="shared" ca="1" si="5"/>
        <v>Roy</v>
      </c>
      <c r="AE45" s="292">
        <f t="shared" ca="1" si="2"/>
        <v>3.2513345696250175E-2</v>
      </c>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row>
    <row r="46" spans="1:104" s="108" customFormat="1">
      <c r="A46" s="141"/>
      <c r="B46" s="142" t="s">
        <v>123</v>
      </c>
      <c r="C46" s="127"/>
      <c r="D46" s="127"/>
      <c r="E46" s="127"/>
      <c r="F46" s="127"/>
      <c r="G46" s="127"/>
      <c r="H46" s="127"/>
      <c r="I46" s="127"/>
      <c r="J46" s="127"/>
      <c r="K46" s="127"/>
      <c r="L46" s="127">
        <v>9</v>
      </c>
      <c r="M46" s="127"/>
      <c r="N46" s="127"/>
      <c r="O46" s="127"/>
      <c r="P46" s="127"/>
      <c r="Q46" s="127"/>
      <c r="R46" s="127"/>
      <c r="S46" s="127"/>
      <c r="T46" s="127"/>
      <c r="U46" s="127"/>
      <c r="V46" s="127"/>
      <c r="W46" s="127"/>
      <c r="X46" s="201">
        <f t="shared" ca="1" si="3"/>
        <v>9.0170346901431255</v>
      </c>
      <c r="Y46" s="128"/>
      <c r="Z46" s="204">
        <f t="shared" ca="1" si="6"/>
        <v>9.0170346901431255</v>
      </c>
      <c r="AA46" s="146">
        <f ca="1">COUNTIF(Teams!$4:$20,B46)</f>
        <v>2</v>
      </c>
      <c r="AB46" s="146">
        <f t="shared" ca="1" si="1"/>
        <v>38</v>
      </c>
      <c r="AC46" s="279">
        <v>45</v>
      </c>
      <c r="AD46" s="104" t="str">
        <f t="shared" ca="1" si="5"/>
        <v>Kruijswijk</v>
      </c>
      <c r="AE46" s="292">
        <f t="shared" ca="1" si="2"/>
        <v>1.2755888952469619E-2</v>
      </c>
    </row>
    <row r="47" spans="1:104" s="107" customFormat="1">
      <c r="A47" s="147"/>
      <c r="B47" s="148" t="s">
        <v>72</v>
      </c>
      <c r="C47" s="149">
        <f>30+9+4</f>
        <v>43</v>
      </c>
      <c r="D47" s="149">
        <f>10+9</f>
        <v>19</v>
      </c>
      <c r="E47" s="149">
        <v>9</v>
      </c>
      <c r="F47" s="149">
        <v>9</v>
      </c>
      <c r="G47" s="149">
        <v>9</v>
      </c>
      <c r="H47" s="149">
        <f>8+9</f>
        <v>17</v>
      </c>
      <c r="I47" s="149">
        <v>9</v>
      </c>
      <c r="J47" s="149">
        <f>26+10+3</f>
        <v>39</v>
      </c>
      <c r="K47" s="149">
        <f>24+10+1</f>
        <v>35</v>
      </c>
      <c r="L47" s="149">
        <f>35+10+1</f>
        <v>46</v>
      </c>
      <c r="M47" s="149">
        <f>13+10</f>
        <v>23</v>
      </c>
      <c r="N47" s="149">
        <f>20+10</f>
        <v>30</v>
      </c>
      <c r="O47" s="149">
        <f>14+10</f>
        <v>24</v>
      </c>
      <c r="P47" s="149">
        <f>14+10</f>
        <v>24</v>
      </c>
      <c r="Q47" s="149">
        <f>11+10</f>
        <v>21</v>
      </c>
      <c r="R47" s="149">
        <v>10</v>
      </c>
      <c r="S47" s="149">
        <f>14+10</f>
        <v>24</v>
      </c>
      <c r="T47" s="149">
        <f>26+10</f>
        <v>36</v>
      </c>
      <c r="U47" s="149">
        <f>7+10</f>
        <v>17</v>
      </c>
      <c r="V47" s="149">
        <f>35+10</f>
        <v>45</v>
      </c>
      <c r="W47" s="149">
        <v>10</v>
      </c>
      <c r="X47" s="202">
        <f t="shared" ca="1" si="3"/>
        <v>499.01818839232175</v>
      </c>
      <c r="Y47" s="150">
        <v>70</v>
      </c>
      <c r="Z47" s="205">
        <f t="shared" ca="1" si="6"/>
        <v>569.01818839232169</v>
      </c>
      <c r="AA47" s="146">
        <f ca="1">COUNTIF(Teams!$4:$20,B47)</f>
        <v>11</v>
      </c>
      <c r="AB47" s="146">
        <f t="shared" ca="1" si="1"/>
        <v>1</v>
      </c>
      <c r="AC47" s="279">
        <v>46</v>
      </c>
      <c r="AD47" s="104" t="e">
        <f t="shared" ca="1" si="5"/>
        <v>#N/A</v>
      </c>
      <c r="AE47" s="292" t="e">
        <f t="shared" ca="1" si="2"/>
        <v>#N/A</v>
      </c>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row>
    <row r="48" spans="1:104" s="108" customFormat="1">
      <c r="A48" s="141"/>
      <c r="B48" s="142" t="s">
        <v>209</v>
      </c>
      <c r="C48" s="127"/>
      <c r="D48" s="127"/>
      <c r="E48" s="127"/>
      <c r="F48" s="127"/>
      <c r="G48" s="127"/>
      <c r="H48" s="127"/>
      <c r="I48" s="127"/>
      <c r="J48" s="127"/>
      <c r="K48" s="127"/>
      <c r="L48" s="127"/>
      <c r="M48" s="127"/>
      <c r="N48" s="127"/>
      <c r="O48" s="127"/>
      <c r="P48" s="127"/>
      <c r="Q48" s="127"/>
      <c r="R48" s="127"/>
      <c r="S48" s="127"/>
      <c r="T48" s="127"/>
      <c r="U48" s="127"/>
      <c r="V48" s="127"/>
      <c r="W48" s="127"/>
      <c r="X48" s="201">
        <f t="shared" ca="1" si="3"/>
        <v>6.1538044093284935E-2</v>
      </c>
      <c r="Y48" s="128"/>
      <c r="Z48" s="204">
        <f t="shared" ca="1" si="6"/>
        <v>6.1538044093284935E-2</v>
      </c>
      <c r="AA48" s="146">
        <f ca="1">COUNTIF(Teams!$4:$20,B48)</f>
        <v>0</v>
      </c>
      <c r="AB48" s="146"/>
      <c r="AC48" s="279">
        <v>48</v>
      </c>
      <c r="AD48" s="104" t="e">
        <f t="shared" ca="1" si="5"/>
        <v>#N/A</v>
      </c>
      <c r="AE48" s="280" t="e">
        <f t="shared" ca="1" si="2"/>
        <v>#N/A</v>
      </c>
    </row>
    <row r="49" spans="1:104" s="107" customFormat="1">
      <c r="A49" s="152"/>
      <c r="B49" s="153"/>
      <c r="C49" s="154"/>
      <c r="D49" s="154"/>
      <c r="E49" s="154"/>
      <c r="F49" s="154"/>
      <c r="G49" s="154"/>
      <c r="H49" s="154"/>
      <c r="I49" s="154"/>
      <c r="J49" s="154"/>
      <c r="K49" s="154"/>
      <c r="L49" s="154"/>
      <c r="M49" s="154"/>
      <c r="N49" s="154"/>
      <c r="O49" s="154"/>
      <c r="P49" s="154"/>
      <c r="Q49" s="154"/>
      <c r="R49" s="154"/>
      <c r="S49" s="154"/>
      <c r="T49" s="154"/>
      <c r="U49" s="154"/>
      <c r="V49" s="154"/>
      <c r="W49" s="154"/>
      <c r="X49" s="203"/>
      <c r="Y49" s="151"/>
      <c r="Z49" s="203"/>
      <c r="AA49" s="146"/>
      <c r="AB49" s="146"/>
      <c r="AC49" s="279"/>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row>
    <row r="50" spans="1:104" s="105" customFormat="1">
      <c r="A50" s="152"/>
      <c r="B50" s="153"/>
      <c r="C50" s="154"/>
      <c r="D50" s="154"/>
      <c r="E50" s="154"/>
      <c r="F50" s="154"/>
      <c r="G50" s="154"/>
      <c r="H50" s="154"/>
      <c r="I50" s="154"/>
      <c r="J50" s="154"/>
      <c r="K50" s="154"/>
      <c r="L50" s="154"/>
      <c r="M50" s="154"/>
      <c r="N50" s="154"/>
      <c r="O50" s="154"/>
      <c r="P50" s="154"/>
      <c r="Q50" s="154"/>
      <c r="R50" s="154"/>
      <c r="S50" s="154"/>
      <c r="T50" s="154"/>
      <c r="U50" s="154"/>
      <c r="V50" s="154"/>
      <c r="W50" s="154"/>
      <c r="X50" s="203"/>
      <c r="Y50" s="151"/>
      <c r="Z50" s="203"/>
      <c r="AA50" s="146"/>
      <c r="AB50" s="146"/>
      <c r="AC50" s="279"/>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row>
    <row r="51" spans="1:104" s="107" customFormat="1">
      <c r="A51" s="152"/>
      <c r="B51" s="153"/>
      <c r="C51" s="154"/>
      <c r="D51" s="154"/>
      <c r="E51" s="154"/>
      <c r="F51" s="154"/>
      <c r="G51" s="154"/>
      <c r="H51" s="154"/>
      <c r="I51" s="154"/>
      <c r="J51" s="154"/>
      <c r="K51" s="154"/>
      <c r="L51" s="154"/>
      <c r="M51" s="154"/>
      <c r="N51" s="154"/>
      <c r="O51" s="154"/>
      <c r="P51" s="154"/>
      <c r="Q51" s="154"/>
      <c r="R51" s="154"/>
      <c r="S51" s="154"/>
      <c r="T51" s="154"/>
      <c r="U51" s="154"/>
      <c r="V51" s="154"/>
      <c r="W51" s="154"/>
      <c r="X51" s="203"/>
      <c r="Y51" s="151"/>
      <c r="Z51" s="203"/>
      <c r="AA51" s="146"/>
      <c r="AB51" s="146"/>
      <c r="AC51" s="279"/>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row>
    <row r="52" spans="1:104" s="105" customFormat="1">
      <c r="A52" s="152"/>
      <c r="B52" s="153"/>
      <c r="C52" s="154"/>
      <c r="D52" s="154"/>
      <c r="E52" s="154"/>
      <c r="F52" s="154"/>
      <c r="G52" s="154"/>
      <c r="H52" s="154"/>
      <c r="I52" s="154"/>
      <c r="J52" s="154"/>
      <c r="K52" s="155" t="s">
        <v>27</v>
      </c>
      <c r="L52" s="155"/>
      <c r="M52" s="154"/>
      <c r="N52" s="154"/>
      <c r="O52" s="154"/>
      <c r="P52" s="154"/>
      <c r="Q52" s="154"/>
      <c r="R52" s="154"/>
      <c r="S52" s="154"/>
      <c r="T52" s="154"/>
      <c r="U52" s="154"/>
      <c r="V52" s="154"/>
      <c r="W52" s="154"/>
      <c r="X52" s="203"/>
      <c r="Y52" s="151"/>
      <c r="Z52" s="203"/>
      <c r="AA52" s="146"/>
      <c r="AB52" s="146"/>
      <c r="AC52" s="279"/>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row>
    <row r="53" spans="1:104" s="107" customFormat="1" ht="63">
      <c r="A53" s="113"/>
      <c r="B53" s="47"/>
      <c r="C53" s="117"/>
      <c r="D53" s="117"/>
      <c r="E53" s="121" t="s">
        <v>23</v>
      </c>
      <c r="F53" s="122" t="s">
        <v>22</v>
      </c>
      <c r="G53" s="122" t="s">
        <v>24</v>
      </c>
      <c r="H53" s="125" t="s">
        <v>25</v>
      </c>
      <c r="I53" s="125" t="s">
        <v>26</v>
      </c>
      <c r="J53" s="117"/>
      <c r="K53" s="121"/>
      <c r="L53" s="121" t="s">
        <v>95</v>
      </c>
      <c r="M53" s="122" t="s">
        <v>26</v>
      </c>
      <c r="N53" s="125" t="s">
        <v>94</v>
      </c>
      <c r="O53" s="117"/>
      <c r="P53" s="117"/>
      <c r="Q53" s="117"/>
      <c r="R53" s="119"/>
      <c r="S53" s="137"/>
      <c r="T53" s="137"/>
      <c r="U53" s="136"/>
      <c r="V53" s="119"/>
      <c r="W53" s="119"/>
      <c r="X53" s="200"/>
      <c r="Y53" s="103"/>
      <c r="Z53" s="48"/>
      <c r="AA53" s="146"/>
      <c r="AB53" s="146"/>
      <c r="AC53" s="279"/>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row>
    <row r="54" spans="1:104" s="107" customFormat="1" ht="15.75">
      <c r="A54" s="113"/>
      <c r="B54" s="47"/>
      <c r="C54" s="117"/>
      <c r="D54" s="117"/>
      <c r="E54" s="121">
        <v>1</v>
      </c>
      <c r="F54" s="122">
        <v>35</v>
      </c>
      <c r="G54" s="122">
        <v>10</v>
      </c>
      <c r="H54" s="125">
        <v>5</v>
      </c>
      <c r="I54" s="125">
        <v>5</v>
      </c>
      <c r="J54" s="117"/>
      <c r="K54" s="121">
        <v>1</v>
      </c>
      <c r="L54" s="121">
        <v>70</v>
      </c>
      <c r="M54" s="122">
        <v>10</v>
      </c>
      <c r="N54" s="125">
        <v>10</v>
      </c>
      <c r="O54" s="117"/>
      <c r="P54" s="117"/>
      <c r="Q54" s="117"/>
      <c r="R54" s="119"/>
      <c r="S54" s="137"/>
      <c r="T54" s="137"/>
      <c r="U54" s="136"/>
      <c r="V54" s="119"/>
      <c r="W54" s="119"/>
      <c r="X54" s="200"/>
      <c r="Y54" s="103"/>
      <c r="Z54" s="48"/>
      <c r="AA54" s="146"/>
      <c r="AB54" s="146"/>
      <c r="AC54" s="279"/>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row>
    <row r="55" spans="1:104" s="107" customFormat="1" ht="15.75">
      <c r="A55" s="113"/>
      <c r="B55" s="47"/>
      <c r="C55" s="117"/>
      <c r="D55" s="117"/>
      <c r="E55" s="121">
        <v>2</v>
      </c>
      <c r="F55" s="122">
        <v>30</v>
      </c>
      <c r="G55" s="122">
        <v>9</v>
      </c>
      <c r="H55" s="125">
        <v>4</v>
      </c>
      <c r="I55" s="125">
        <v>4</v>
      </c>
      <c r="J55" s="117"/>
      <c r="K55" s="121">
        <v>2</v>
      </c>
      <c r="L55" s="121">
        <v>60</v>
      </c>
      <c r="M55" s="122">
        <v>7</v>
      </c>
      <c r="N55" s="125">
        <v>7</v>
      </c>
      <c r="O55" s="117"/>
      <c r="P55" s="117"/>
      <c r="Q55" s="117"/>
      <c r="R55" s="119"/>
      <c r="S55" s="137"/>
      <c r="T55" s="137"/>
      <c r="U55" s="136"/>
      <c r="V55" s="119"/>
      <c r="W55" s="119"/>
      <c r="X55" s="200"/>
      <c r="Y55" s="103"/>
      <c r="Z55" s="48"/>
      <c r="AA55" s="146"/>
      <c r="AB55" s="146"/>
      <c r="AC55" s="279"/>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row>
    <row r="56" spans="1:104" s="107" customFormat="1" ht="15.75">
      <c r="A56" s="113"/>
      <c r="B56" s="47"/>
      <c r="C56" s="117"/>
      <c r="D56" s="117"/>
      <c r="E56" s="121">
        <v>3</v>
      </c>
      <c r="F56" s="122">
        <v>26</v>
      </c>
      <c r="G56" s="122">
        <v>8</v>
      </c>
      <c r="H56" s="125">
        <v>3</v>
      </c>
      <c r="I56" s="125">
        <v>3</v>
      </c>
      <c r="J56" s="117"/>
      <c r="K56" s="121">
        <v>3</v>
      </c>
      <c r="L56" s="121">
        <v>52</v>
      </c>
      <c r="M56" s="122">
        <v>5</v>
      </c>
      <c r="N56" s="125">
        <v>5</v>
      </c>
      <c r="O56" s="117"/>
      <c r="P56" s="117"/>
      <c r="Q56" s="117"/>
      <c r="R56" s="119"/>
      <c r="S56" s="137"/>
      <c r="T56" s="137"/>
      <c r="U56" s="136"/>
      <c r="V56" s="119"/>
      <c r="W56" s="119"/>
      <c r="X56" s="200"/>
      <c r="Y56" s="103"/>
      <c r="Z56" s="48"/>
      <c r="AA56" s="146"/>
      <c r="AB56" s="146"/>
      <c r="AC56" s="279"/>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row>
    <row r="57" spans="1:104" s="107" customFormat="1" ht="15.75">
      <c r="A57" s="113"/>
      <c r="B57" s="47"/>
      <c r="C57" s="117"/>
      <c r="D57" s="117"/>
      <c r="E57" s="121">
        <v>4</v>
      </c>
      <c r="F57" s="122">
        <v>24</v>
      </c>
      <c r="G57" s="122">
        <v>7</v>
      </c>
      <c r="H57" s="125">
        <v>2</v>
      </c>
      <c r="I57" s="125">
        <v>2</v>
      </c>
      <c r="J57" s="117"/>
      <c r="K57" s="121">
        <v>4</v>
      </c>
      <c r="L57" s="121">
        <v>48</v>
      </c>
      <c r="M57" s="122">
        <v>3</v>
      </c>
      <c r="N57" s="125">
        <v>3</v>
      </c>
      <c r="O57" s="117"/>
      <c r="P57" s="117"/>
      <c r="Q57" s="117"/>
      <c r="R57" s="119"/>
      <c r="S57" s="137"/>
      <c r="T57" s="137"/>
      <c r="U57" s="136"/>
      <c r="V57" s="119"/>
      <c r="W57" s="119"/>
      <c r="X57" s="200"/>
      <c r="Y57" s="103"/>
      <c r="Z57" s="48"/>
      <c r="AA57" s="146"/>
      <c r="AB57" s="146"/>
      <c r="AC57" s="279"/>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row>
    <row r="58" spans="1:104" s="107" customFormat="1" ht="15.75">
      <c r="A58" s="113"/>
      <c r="B58" s="47"/>
      <c r="C58" s="117"/>
      <c r="D58" s="117"/>
      <c r="E58" s="121">
        <v>5</v>
      </c>
      <c r="F58" s="122">
        <v>22</v>
      </c>
      <c r="G58" s="122">
        <v>6</v>
      </c>
      <c r="H58" s="125">
        <v>1</v>
      </c>
      <c r="I58" s="125">
        <v>1</v>
      </c>
      <c r="J58" s="117"/>
      <c r="K58" s="121">
        <v>5</v>
      </c>
      <c r="L58" s="121">
        <v>44</v>
      </c>
      <c r="M58" s="122">
        <v>1</v>
      </c>
      <c r="N58" s="125">
        <v>1</v>
      </c>
      <c r="O58" s="117"/>
      <c r="P58" s="117"/>
      <c r="Q58" s="117"/>
      <c r="R58" s="119"/>
      <c r="S58" s="137"/>
      <c r="T58" s="137"/>
      <c r="U58" s="136"/>
      <c r="V58" s="119"/>
      <c r="W58" s="119"/>
      <c r="X58" s="200"/>
      <c r="Y58" s="103"/>
      <c r="Z58" s="48"/>
      <c r="AA58" s="146"/>
      <c r="AB58" s="146"/>
      <c r="AC58" s="279"/>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row>
    <row r="59" spans="1:104" s="107" customFormat="1" ht="15.75">
      <c r="A59" s="113"/>
      <c r="B59" s="47"/>
      <c r="C59" s="117"/>
      <c r="D59" s="117"/>
      <c r="E59" s="121">
        <v>6</v>
      </c>
      <c r="F59" s="122">
        <v>20</v>
      </c>
      <c r="G59" s="122">
        <v>5</v>
      </c>
      <c r="H59" s="125"/>
      <c r="I59" s="125"/>
      <c r="J59" s="117"/>
      <c r="K59" s="121">
        <v>6</v>
      </c>
      <c r="L59" s="121">
        <v>40</v>
      </c>
      <c r="M59" s="122"/>
      <c r="N59" s="125"/>
      <c r="O59" s="117"/>
      <c r="P59" s="117"/>
      <c r="Q59" s="117"/>
      <c r="R59" s="119"/>
      <c r="S59" s="137"/>
      <c r="T59" s="137"/>
      <c r="U59" s="136"/>
      <c r="V59" s="119"/>
      <c r="W59" s="119"/>
      <c r="X59" s="200"/>
      <c r="Y59" s="103"/>
      <c r="Z59" s="48"/>
      <c r="AA59" s="146"/>
      <c r="AB59" s="146"/>
      <c r="AC59" s="279"/>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row>
    <row r="60" spans="1:104" s="105" customFormat="1" ht="15.75">
      <c r="A60" s="113"/>
      <c r="B60" s="47"/>
      <c r="C60" s="117"/>
      <c r="D60" s="117"/>
      <c r="E60" s="121">
        <v>7</v>
      </c>
      <c r="F60" s="122">
        <v>19</v>
      </c>
      <c r="G60" s="122">
        <v>4</v>
      </c>
      <c r="H60" s="125"/>
      <c r="I60" s="125"/>
      <c r="J60" s="117"/>
      <c r="K60" s="121">
        <v>7</v>
      </c>
      <c r="L60" s="121">
        <v>38</v>
      </c>
      <c r="M60" s="122"/>
      <c r="N60" s="125"/>
      <c r="O60" s="117"/>
      <c r="P60" s="117"/>
      <c r="Q60" s="117"/>
      <c r="R60" s="119"/>
      <c r="S60" s="137"/>
      <c r="T60" s="137"/>
      <c r="U60" s="136"/>
      <c r="V60" s="119"/>
      <c r="W60" s="119"/>
      <c r="X60" s="200"/>
      <c r="Y60" s="103"/>
      <c r="Z60" s="48"/>
      <c r="AA60" s="146"/>
      <c r="AB60" s="146"/>
      <c r="AC60" s="279"/>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row>
    <row r="61" spans="1:104" s="111" customFormat="1" ht="15.75">
      <c r="A61" s="113"/>
      <c r="B61" s="47"/>
      <c r="C61" s="117"/>
      <c r="D61" s="117"/>
      <c r="E61" s="121">
        <v>8</v>
      </c>
      <c r="F61" s="122">
        <v>18</v>
      </c>
      <c r="G61" s="122">
        <v>3</v>
      </c>
      <c r="H61" s="125"/>
      <c r="I61" s="125"/>
      <c r="J61" s="117"/>
      <c r="K61" s="121">
        <v>8</v>
      </c>
      <c r="L61" s="121">
        <v>36</v>
      </c>
      <c r="M61" s="122"/>
      <c r="N61" s="125"/>
      <c r="O61" s="117"/>
      <c r="P61" s="117"/>
      <c r="Q61" s="117"/>
      <c r="R61" s="119"/>
      <c r="S61" s="137"/>
      <c r="T61" s="137"/>
      <c r="U61" s="136"/>
      <c r="V61" s="119"/>
      <c r="W61" s="119"/>
      <c r="X61" s="200"/>
      <c r="Y61" s="103"/>
      <c r="Z61" s="48"/>
      <c r="AA61" s="146"/>
      <c r="AB61" s="146"/>
      <c r="AC61" s="279"/>
      <c r="AD61" s="104"/>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row>
    <row r="62" spans="1:104" s="105" customFormat="1" ht="15.75">
      <c r="A62" s="113"/>
      <c r="B62" s="47"/>
      <c r="C62" s="117"/>
      <c r="D62" s="117"/>
      <c r="E62" s="123">
        <v>9</v>
      </c>
      <c r="F62" s="124">
        <v>17</v>
      </c>
      <c r="G62" s="124">
        <v>2</v>
      </c>
      <c r="H62" s="125"/>
      <c r="I62" s="125"/>
      <c r="J62" s="117"/>
      <c r="K62" s="123">
        <v>9</v>
      </c>
      <c r="L62" s="123">
        <v>34</v>
      </c>
      <c r="M62" s="122"/>
      <c r="N62" s="125"/>
      <c r="O62" s="117"/>
      <c r="P62" s="117"/>
      <c r="Q62" s="117"/>
      <c r="R62" s="119"/>
      <c r="S62" s="116"/>
      <c r="T62" s="116"/>
      <c r="U62" s="136"/>
      <c r="V62" s="119"/>
      <c r="W62" s="119"/>
      <c r="X62" s="200"/>
      <c r="Y62" s="103"/>
      <c r="Z62" s="48"/>
      <c r="AA62" s="146"/>
      <c r="AB62" s="146"/>
      <c r="AC62" s="279"/>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row>
    <row r="63" spans="1:104" s="107" customFormat="1" ht="15.75">
      <c r="A63" s="113"/>
      <c r="B63" s="47"/>
      <c r="C63" s="117"/>
      <c r="D63" s="117"/>
      <c r="E63" s="121">
        <v>10</v>
      </c>
      <c r="F63" s="122">
        <v>16</v>
      </c>
      <c r="G63" s="125">
        <v>1</v>
      </c>
      <c r="H63" s="125"/>
      <c r="I63" s="125"/>
      <c r="J63" s="117"/>
      <c r="K63" s="121">
        <v>10</v>
      </c>
      <c r="L63" s="121">
        <v>32</v>
      </c>
      <c r="M63" s="125"/>
      <c r="N63" s="125"/>
      <c r="O63" s="117"/>
      <c r="P63" s="117"/>
      <c r="Q63" s="117"/>
      <c r="R63" s="119"/>
      <c r="S63" s="117"/>
      <c r="T63" s="117"/>
      <c r="U63" s="136"/>
      <c r="V63" s="119"/>
      <c r="W63" s="119"/>
      <c r="X63" s="200"/>
      <c r="Y63" s="103"/>
      <c r="Z63" s="48"/>
      <c r="AA63" s="146"/>
      <c r="AB63" s="146"/>
      <c r="AC63" s="279"/>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row>
    <row r="64" spans="1:104" s="105" customFormat="1" ht="15.75">
      <c r="A64" s="113"/>
      <c r="B64" s="47"/>
      <c r="C64" s="117"/>
      <c r="D64" s="117"/>
      <c r="E64" s="121">
        <v>11</v>
      </c>
      <c r="F64" s="122">
        <v>15</v>
      </c>
      <c r="G64" s="125"/>
      <c r="H64" s="125"/>
      <c r="I64" s="125"/>
      <c r="J64" s="117"/>
      <c r="K64" s="121">
        <v>11</v>
      </c>
      <c r="L64" s="121">
        <v>30</v>
      </c>
      <c r="M64" s="125"/>
      <c r="N64" s="125"/>
      <c r="O64" s="117"/>
      <c r="P64" s="117"/>
      <c r="Q64" s="117"/>
      <c r="R64" s="119"/>
      <c r="S64" s="117"/>
      <c r="T64" s="117"/>
      <c r="U64" s="118"/>
      <c r="V64" s="119"/>
      <c r="W64" s="119"/>
      <c r="X64" s="200"/>
      <c r="Y64" s="103"/>
      <c r="Z64" s="48"/>
      <c r="AA64" s="146"/>
      <c r="AB64" s="146"/>
      <c r="AC64" s="279"/>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row>
    <row r="65" spans="1:104" s="107" customFormat="1" ht="15.75">
      <c r="A65" s="113"/>
      <c r="B65" s="47"/>
      <c r="C65" s="117"/>
      <c r="D65" s="117"/>
      <c r="E65" s="121">
        <v>12</v>
      </c>
      <c r="F65" s="122">
        <v>14</v>
      </c>
      <c r="G65" s="125"/>
      <c r="H65" s="125"/>
      <c r="I65" s="125"/>
      <c r="J65" s="117"/>
      <c r="K65" s="121">
        <v>12</v>
      </c>
      <c r="L65" s="121">
        <v>28</v>
      </c>
      <c r="M65" s="125"/>
      <c r="N65" s="125"/>
      <c r="O65" s="117"/>
      <c r="P65" s="117"/>
      <c r="Q65" s="117"/>
      <c r="R65" s="119"/>
      <c r="S65" s="117"/>
      <c r="T65" s="117"/>
      <c r="U65" s="119"/>
      <c r="V65" s="119"/>
      <c r="W65" s="119"/>
      <c r="X65" s="200"/>
      <c r="Y65" s="103"/>
      <c r="Z65" s="48"/>
      <c r="AA65" s="146"/>
      <c r="AB65" s="146"/>
      <c r="AC65" s="279"/>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row>
    <row r="66" spans="1:104" s="105" customFormat="1" ht="15.75">
      <c r="A66" s="113"/>
      <c r="B66" s="47"/>
      <c r="C66" s="117"/>
      <c r="D66" s="117"/>
      <c r="E66" s="121">
        <v>13</v>
      </c>
      <c r="F66" s="122">
        <v>13</v>
      </c>
      <c r="G66" s="125"/>
      <c r="H66" s="125"/>
      <c r="I66" s="125"/>
      <c r="J66" s="117"/>
      <c r="K66" s="121">
        <v>13</v>
      </c>
      <c r="L66" s="121">
        <v>26</v>
      </c>
      <c r="M66" s="125"/>
      <c r="N66" s="125"/>
      <c r="O66" s="117"/>
      <c r="P66" s="117"/>
      <c r="Q66" s="117"/>
      <c r="R66" s="119"/>
      <c r="S66" s="117"/>
      <c r="T66" s="117"/>
      <c r="U66" s="119"/>
      <c r="V66" s="119"/>
      <c r="W66" s="119"/>
      <c r="X66" s="200"/>
      <c r="Y66" s="103"/>
      <c r="Z66" s="48"/>
      <c r="AA66" s="146"/>
      <c r="AB66" s="146"/>
      <c r="AC66" s="279"/>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row>
    <row r="67" spans="1:104" s="107" customFormat="1" ht="15.75">
      <c r="A67" s="113"/>
      <c r="B67" s="47"/>
      <c r="C67" s="117"/>
      <c r="D67" s="117"/>
      <c r="E67" s="123">
        <v>14</v>
      </c>
      <c r="F67" s="124">
        <v>12</v>
      </c>
      <c r="G67" s="125"/>
      <c r="H67" s="125"/>
      <c r="I67" s="125"/>
      <c r="J67" s="117"/>
      <c r="K67" s="123">
        <v>14</v>
      </c>
      <c r="L67" s="123">
        <v>24</v>
      </c>
      <c r="M67" s="125"/>
      <c r="N67" s="125"/>
      <c r="O67" s="117"/>
      <c r="P67" s="117"/>
      <c r="Q67" s="117"/>
      <c r="R67" s="119"/>
      <c r="S67" s="117"/>
      <c r="T67" s="117"/>
      <c r="U67" s="119"/>
      <c r="V67" s="119"/>
      <c r="W67" s="119"/>
      <c r="X67" s="200"/>
      <c r="Y67" s="103"/>
      <c r="Z67" s="48"/>
      <c r="AA67" s="146"/>
      <c r="AB67" s="146"/>
      <c r="AC67" s="279"/>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row>
    <row r="68" spans="1:104" s="107" customFormat="1" ht="15.75">
      <c r="A68" s="113"/>
      <c r="B68" s="47"/>
      <c r="C68" s="117"/>
      <c r="D68" s="117"/>
      <c r="E68" s="121">
        <v>15</v>
      </c>
      <c r="F68" s="122">
        <v>11</v>
      </c>
      <c r="G68" s="125"/>
      <c r="H68" s="125"/>
      <c r="I68" s="125"/>
      <c r="J68" s="117"/>
      <c r="K68" s="121">
        <v>15</v>
      </c>
      <c r="L68" s="121">
        <v>22</v>
      </c>
      <c r="M68" s="125"/>
      <c r="N68" s="125"/>
      <c r="O68" s="117"/>
      <c r="P68" s="117"/>
      <c r="Q68" s="117"/>
      <c r="R68" s="119"/>
      <c r="S68" s="117"/>
      <c r="T68" s="117"/>
      <c r="U68" s="119"/>
      <c r="V68" s="119"/>
      <c r="W68" s="119"/>
      <c r="X68" s="200"/>
      <c r="Y68" s="103"/>
      <c r="Z68" s="48"/>
      <c r="AA68" s="146"/>
      <c r="AB68" s="146">
        <v>0</v>
      </c>
      <c r="AC68" s="279"/>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row>
    <row r="69" spans="1:104" s="107" customFormat="1" ht="15.75">
      <c r="A69" s="113"/>
      <c r="B69" s="47"/>
      <c r="C69" s="117"/>
      <c r="D69" s="117"/>
      <c r="E69" s="121">
        <v>16</v>
      </c>
      <c r="F69" s="122">
        <v>10</v>
      </c>
      <c r="G69" s="125"/>
      <c r="H69" s="125"/>
      <c r="I69" s="125"/>
      <c r="J69" s="117"/>
      <c r="K69" s="121">
        <v>16</v>
      </c>
      <c r="L69" s="121">
        <v>20</v>
      </c>
      <c r="M69" s="125"/>
      <c r="N69" s="125"/>
      <c r="O69" s="117"/>
      <c r="P69" s="117"/>
      <c r="Q69" s="117"/>
      <c r="R69" s="119"/>
      <c r="S69" s="117"/>
      <c r="T69" s="117"/>
      <c r="U69" s="119"/>
      <c r="V69" s="119"/>
      <c r="W69" s="119"/>
      <c r="X69" s="200"/>
      <c r="Y69" s="103"/>
      <c r="Z69" s="48"/>
      <c r="AA69" s="146"/>
      <c r="AB69" s="146">
        <v>0</v>
      </c>
      <c r="AC69" s="279"/>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row>
    <row r="70" spans="1:104" s="105" customFormat="1" ht="15.75">
      <c r="A70" s="113"/>
      <c r="B70" s="47"/>
      <c r="C70" s="117"/>
      <c r="D70" s="117"/>
      <c r="E70" s="121">
        <v>17</v>
      </c>
      <c r="F70" s="122">
        <v>9</v>
      </c>
      <c r="G70" s="125"/>
      <c r="H70" s="125"/>
      <c r="I70" s="125"/>
      <c r="J70" s="117"/>
      <c r="K70" s="121">
        <v>17</v>
      </c>
      <c r="L70" s="121">
        <v>18</v>
      </c>
      <c r="M70" s="125"/>
      <c r="N70" s="125"/>
      <c r="O70" s="117"/>
      <c r="P70" s="117"/>
      <c r="Q70" s="117"/>
      <c r="R70" s="119"/>
      <c r="S70" s="117"/>
      <c r="T70" s="117"/>
      <c r="U70" s="119"/>
      <c r="V70" s="119"/>
      <c r="W70" s="119"/>
      <c r="X70" s="200"/>
      <c r="Y70" s="103"/>
      <c r="Z70" s="48"/>
      <c r="AA70" s="146"/>
      <c r="AB70" s="146"/>
      <c r="AC70" s="279"/>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row>
    <row r="71" spans="1:104" s="107" customFormat="1" ht="15.75">
      <c r="A71" s="113"/>
      <c r="B71" s="47"/>
      <c r="C71" s="117"/>
      <c r="D71" s="117"/>
      <c r="E71" s="121">
        <v>18</v>
      </c>
      <c r="F71" s="122">
        <v>8</v>
      </c>
      <c r="G71" s="125"/>
      <c r="H71" s="125"/>
      <c r="I71" s="125"/>
      <c r="J71" s="117"/>
      <c r="K71" s="121">
        <v>18</v>
      </c>
      <c r="L71" s="121">
        <v>16</v>
      </c>
      <c r="M71" s="125"/>
      <c r="N71" s="125"/>
      <c r="O71" s="117"/>
      <c r="P71" s="117"/>
      <c r="Q71" s="117"/>
      <c r="R71" s="119"/>
      <c r="S71" s="117"/>
      <c r="T71" s="117"/>
      <c r="U71" s="119"/>
      <c r="V71" s="119"/>
      <c r="W71" s="119"/>
      <c r="X71" s="200"/>
      <c r="Y71" s="103"/>
      <c r="Z71" s="48"/>
      <c r="AA71" s="146"/>
      <c r="AB71" s="146"/>
      <c r="AC71" s="279"/>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row>
    <row r="72" spans="1:104" s="105" customFormat="1" ht="15.75">
      <c r="A72" s="113"/>
      <c r="B72" s="47"/>
      <c r="C72" s="117"/>
      <c r="D72" s="117"/>
      <c r="E72" s="121">
        <v>19</v>
      </c>
      <c r="F72" s="122">
        <v>7</v>
      </c>
      <c r="G72" s="125"/>
      <c r="H72" s="125"/>
      <c r="I72" s="125"/>
      <c r="J72" s="117"/>
      <c r="K72" s="121">
        <v>19</v>
      </c>
      <c r="L72" s="121">
        <v>14</v>
      </c>
      <c r="M72" s="125"/>
      <c r="N72" s="125"/>
      <c r="O72" s="117"/>
      <c r="P72" s="117"/>
      <c r="Q72" s="117"/>
      <c r="R72" s="119"/>
      <c r="S72" s="117"/>
      <c r="T72" s="117"/>
      <c r="U72" s="119"/>
      <c r="V72" s="119"/>
      <c r="W72" s="119"/>
      <c r="X72" s="200"/>
      <c r="Y72" s="103"/>
      <c r="Z72" s="48"/>
      <c r="AA72" s="146"/>
      <c r="AB72" s="146"/>
      <c r="AC72" s="279"/>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row>
    <row r="73" spans="1:104" s="112" customFormat="1">
      <c r="A73" s="113"/>
      <c r="B73" s="47"/>
      <c r="C73" s="117"/>
      <c r="D73" s="117"/>
      <c r="E73" s="120">
        <v>20</v>
      </c>
      <c r="F73" s="119">
        <v>6</v>
      </c>
      <c r="G73" s="119"/>
      <c r="H73" s="119"/>
      <c r="I73" s="117"/>
      <c r="J73" s="117"/>
      <c r="K73" s="117">
        <v>20</v>
      </c>
      <c r="L73" s="117">
        <v>12</v>
      </c>
      <c r="M73" s="117"/>
      <c r="N73" s="117"/>
      <c r="O73" s="117"/>
      <c r="P73" s="117"/>
      <c r="Q73" s="117"/>
      <c r="R73" s="119"/>
      <c r="S73" s="117"/>
      <c r="T73" s="117"/>
      <c r="U73" s="119"/>
      <c r="V73" s="119"/>
      <c r="W73" s="119"/>
      <c r="X73" s="200"/>
      <c r="Y73" s="103"/>
      <c r="Z73" s="48"/>
      <c r="AA73" s="146"/>
      <c r="AB73" s="146"/>
      <c r="AC73" s="279"/>
      <c r="AD73" s="105"/>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c r="CH73" s="108"/>
      <c r="CI73" s="108"/>
      <c r="CJ73" s="108"/>
      <c r="CK73" s="108"/>
      <c r="CL73" s="108"/>
      <c r="CM73" s="108"/>
      <c r="CN73" s="108"/>
      <c r="CO73" s="108"/>
      <c r="CP73" s="108"/>
      <c r="CQ73" s="108"/>
      <c r="CR73" s="108"/>
      <c r="CS73" s="108"/>
      <c r="CT73" s="108"/>
      <c r="CU73" s="108"/>
      <c r="CV73" s="108"/>
      <c r="CW73" s="108"/>
      <c r="CX73" s="108"/>
      <c r="CY73" s="108"/>
      <c r="CZ73" s="108"/>
    </row>
    <row r="74" spans="1:104" s="105" customFormat="1">
      <c r="A74" s="113"/>
      <c r="B74" s="47"/>
      <c r="C74" s="117"/>
      <c r="D74" s="117"/>
      <c r="E74" s="120"/>
      <c r="F74" s="119"/>
      <c r="G74" s="119"/>
      <c r="H74" s="119"/>
      <c r="I74" s="117"/>
      <c r="J74" s="117"/>
      <c r="K74" s="117"/>
      <c r="L74" s="117"/>
      <c r="M74" s="117"/>
      <c r="N74" s="117"/>
      <c r="O74" s="117"/>
      <c r="P74" s="117"/>
      <c r="Q74" s="117"/>
      <c r="R74" s="119"/>
      <c r="S74" s="117"/>
      <c r="T74" s="117"/>
      <c r="U74" s="119"/>
      <c r="V74" s="119"/>
      <c r="W74" s="119"/>
      <c r="X74" s="200"/>
      <c r="Y74" s="103"/>
      <c r="Z74" s="48"/>
      <c r="AA74" s="146"/>
      <c r="AB74" s="146"/>
      <c r="AC74" s="279"/>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row>
    <row r="75" spans="1:104" s="107" customFormat="1">
      <c r="A75" s="113"/>
      <c r="B75" s="47"/>
      <c r="C75" s="117"/>
      <c r="D75" s="117"/>
      <c r="E75" s="120"/>
      <c r="F75" s="119"/>
      <c r="G75" s="119"/>
      <c r="H75" s="119"/>
      <c r="I75" s="117"/>
      <c r="J75" s="117"/>
      <c r="K75" s="117"/>
      <c r="L75" s="117"/>
      <c r="M75" s="117"/>
      <c r="N75" s="117"/>
      <c r="O75" s="117"/>
      <c r="P75" s="117"/>
      <c r="Q75" s="117"/>
      <c r="R75" s="119"/>
      <c r="S75" s="117"/>
      <c r="T75" s="117"/>
      <c r="U75" s="119"/>
      <c r="V75" s="119"/>
      <c r="W75" s="119"/>
      <c r="X75" s="200"/>
      <c r="Y75" s="103"/>
      <c r="Z75" s="48"/>
      <c r="AA75" s="146"/>
      <c r="AB75" s="146"/>
      <c r="AC75" s="279"/>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row>
    <row r="76" spans="1:104" s="105" customFormat="1">
      <c r="A76" s="113"/>
      <c r="B76" s="47"/>
      <c r="C76" s="117"/>
      <c r="D76" s="117"/>
      <c r="E76" s="120"/>
      <c r="F76" s="119"/>
      <c r="G76" s="119"/>
      <c r="H76" s="119"/>
      <c r="I76" s="117"/>
      <c r="J76" s="117"/>
      <c r="K76" s="117"/>
      <c r="L76" s="117"/>
      <c r="M76" s="117"/>
      <c r="N76" s="117"/>
      <c r="O76" s="117"/>
      <c r="P76" s="117"/>
      <c r="Q76" s="117"/>
      <c r="R76" s="119"/>
      <c r="S76" s="117"/>
      <c r="T76" s="117"/>
      <c r="U76" s="119"/>
      <c r="V76" s="119"/>
      <c r="W76" s="119"/>
      <c r="X76" s="200"/>
      <c r="Y76" s="103"/>
      <c r="Z76" s="48"/>
      <c r="AA76" s="146"/>
      <c r="AB76" s="146"/>
      <c r="AC76" s="279"/>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104" s="108" customFormat="1">
      <c r="A77" s="113"/>
      <c r="B77" s="47"/>
      <c r="C77" s="117"/>
      <c r="D77" s="117"/>
      <c r="E77" s="120"/>
      <c r="F77" s="119"/>
      <c r="G77" s="119"/>
      <c r="H77" s="119"/>
      <c r="I77" s="117"/>
      <c r="J77" s="117"/>
      <c r="K77" s="117"/>
      <c r="L77" s="117"/>
      <c r="M77" s="117"/>
      <c r="N77" s="117"/>
      <c r="O77" s="117"/>
      <c r="P77" s="117"/>
      <c r="Q77" s="117"/>
      <c r="R77" s="119"/>
      <c r="S77" s="117"/>
      <c r="T77" s="117"/>
      <c r="U77" s="119"/>
      <c r="V77" s="119"/>
      <c r="W77" s="119"/>
      <c r="X77" s="200"/>
      <c r="Y77" s="103"/>
      <c r="Z77" s="48"/>
      <c r="AA77" s="146"/>
      <c r="AB77" s="146"/>
      <c r="AC77" s="279"/>
      <c r="AD77" s="105"/>
    </row>
  </sheetData>
  <sortState ref="A2:Z49">
    <sortCondition ref="B2:B49"/>
  </sortState>
  <phoneticPr fontId="0" type="noConversion"/>
  <pageMargins left="0.75" right="0.75" top="1" bottom="1" header="0.5" footer="0.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12"/>
  </sheetPr>
  <dimension ref="B1:AA71"/>
  <sheetViews>
    <sheetView showZeros="0" workbookViewId="0">
      <selection activeCell="Q24" sqref="Q24"/>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62" t="s">
        <v>174</v>
      </c>
    </row>
    <row r="2" spans="2:27">
      <c r="C2" s="162"/>
      <c r="G2" s="179"/>
    </row>
    <row r="3" spans="2:27" s="177" customFormat="1" ht="13.5" thickBot="1">
      <c r="C3" s="215" t="s">
        <v>86</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131</v>
      </c>
      <c r="C4" s="217" t="s">
        <v>175</v>
      </c>
      <c r="D4" s="159">
        <f t="shared" ref="D4:M13" si="0">INDEX(scorematrix,MATCH($C4,renners,0),MATCH(D$3,etappes,0))</f>
        <v>0</v>
      </c>
      <c r="E4" s="159">
        <f t="shared" si="0"/>
        <v>0</v>
      </c>
      <c r="F4" s="159">
        <f t="shared" si="0"/>
        <v>0</v>
      </c>
      <c r="G4" s="159">
        <f t="shared" si="0"/>
        <v>0</v>
      </c>
      <c r="H4" s="159">
        <f t="shared" si="0"/>
        <v>0</v>
      </c>
      <c r="I4" s="159">
        <f t="shared" si="0"/>
        <v>0</v>
      </c>
      <c r="J4" s="159">
        <f t="shared" si="0"/>
        <v>0</v>
      </c>
      <c r="K4" s="159">
        <f t="shared" si="0"/>
        <v>0</v>
      </c>
      <c r="L4" s="159">
        <f t="shared" si="0"/>
        <v>0</v>
      </c>
      <c r="M4" s="159">
        <f t="shared" si="0"/>
        <v>0</v>
      </c>
      <c r="N4" s="159">
        <f t="shared" ref="N4:Y13" si="1">INDEX(scorematrix,MATCH($C4,renners,0),MATCH(N$3,etappes,0))</f>
        <v>0</v>
      </c>
      <c r="O4" s="159">
        <f t="shared" si="1"/>
        <v>0</v>
      </c>
      <c r="P4" s="159">
        <f t="shared" si="1"/>
        <v>0</v>
      </c>
      <c r="Q4" s="159">
        <f t="shared" si="1"/>
        <v>0</v>
      </c>
      <c r="R4" s="159">
        <f t="shared" si="1"/>
        <v>0</v>
      </c>
      <c r="S4" s="159">
        <f t="shared" si="1"/>
        <v>0</v>
      </c>
      <c r="T4" s="159">
        <f t="shared" si="1"/>
        <v>0</v>
      </c>
      <c r="U4" s="159">
        <f t="shared" si="1"/>
        <v>0</v>
      </c>
      <c r="V4" s="159">
        <f t="shared" si="1"/>
        <v>0</v>
      </c>
      <c r="W4" s="159">
        <f t="shared" si="1"/>
        <v>0</v>
      </c>
      <c r="X4" s="159">
        <f t="shared" si="1"/>
        <v>0</v>
      </c>
      <c r="Y4" s="159">
        <f t="shared" si="1"/>
        <v>0</v>
      </c>
      <c r="Z4" s="164">
        <f t="shared" ref="Z4:Z20" si="2">SUM(D4:Y4)</f>
        <v>0</v>
      </c>
      <c r="AA4" s="158" t="str">
        <f t="shared" ref="AA4:AA20" si="3">C4</f>
        <v>KITTEL</v>
      </c>
    </row>
    <row r="5" spans="2:27">
      <c r="B5" s="216" t="s">
        <v>141</v>
      </c>
      <c r="C5" s="217" t="s">
        <v>176</v>
      </c>
      <c r="D5" s="159">
        <f t="shared" si="0"/>
        <v>13</v>
      </c>
      <c r="E5" s="159">
        <f t="shared" si="0"/>
        <v>9</v>
      </c>
      <c r="F5" s="159">
        <f t="shared" si="0"/>
        <v>3</v>
      </c>
      <c r="G5" s="159">
        <f t="shared" si="0"/>
        <v>24</v>
      </c>
      <c r="H5" s="159">
        <f t="shared" si="0"/>
        <v>4</v>
      </c>
      <c r="I5" s="159">
        <f t="shared" si="0"/>
        <v>4</v>
      </c>
      <c r="J5" s="159">
        <f t="shared" si="0"/>
        <v>17</v>
      </c>
      <c r="K5" s="159">
        <f t="shared" si="0"/>
        <v>43</v>
      </c>
      <c r="L5" s="159">
        <f t="shared" si="0"/>
        <v>42</v>
      </c>
      <c r="M5" s="159">
        <f t="shared" si="0"/>
        <v>32</v>
      </c>
      <c r="N5" s="159">
        <f t="shared" si="1"/>
        <v>23</v>
      </c>
      <c r="O5" s="159">
        <f t="shared" si="1"/>
        <v>22</v>
      </c>
      <c r="P5" s="159">
        <f t="shared" si="1"/>
        <v>25</v>
      </c>
      <c r="Q5" s="159">
        <f t="shared" si="1"/>
        <v>17</v>
      </c>
      <c r="R5" s="159">
        <f t="shared" si="1"/>
        <v>17</v>
      </c>
      <c r="S5" s="159">
        <f t="shared" si="1"/>
        <v>7</v>
      </c>
      <c r="T5" s="159">
        <f t="shared" si="1"/>
        <v>4</v>
      </c>
      <c r="U5" s="159">
        <f t="shared" si="1"/>
        <v>13</v>
      </c>
      <c r="V5" s="159">
        <f t="shared" si="1"/>
        <v>5</v>
      </c>
      <c r="W5" s="159">
        <f t="shared" si="1"/>
        <v>4</v>
      </c>
      <c r="X5" s="159">
        <f t="shared" si="1"/>
        <v>4</v>
      </c>
      <c r="Y5" s="159">
        <f t="shared" si="1"/>
        <v>38</v>
      </c>
      <c r="Z5" s="164">
        <f t="shared" si="2"/>
        <v>370</v>
      </c>
      <c r="AA5" s="158" t="str">
        <f t="shared" si="3"/>
        <v>EVANS</v>
      </c>
    </row>
    <row r="6" spans="2:27">
      <c r="B6" s="216" t="s">
        <v>157</v>
      </c>
      <c r="C6" s="217" t="s">
        <v>177</v>
      </c>
      <c r="D6" s="159">
        <f t="shared" si="0"/>
        <v>0</v>
      </c>
      <c r="E6" s="159">
        <f t="shared" si="0"/>
        <v>0</v>
      </c>
      <c r="F6" s="159">
        <f t="shared" si="0"/>
        <v>0</v>
      </c>
      <c r="G6" s="159">
        <f t="shared" si="0"/>
        <v>18</v>
      </c>
      <c r="H6" s="159">
        <f t="shared" si="0"/>
        <v>0</v>
      </c>
      <c r="I6" s="159">
        <f t="shared" si="0"/>
        <v>9</v>
      </c>
      <c r="J6" s="159">
        <f t="shared" si="0"/>
        <v>7</v>
      </c>
      <c r="K6" s="159">
        <f t="shared" si="0"/>
        <v>10</v>
      </c>
      <c r="L6" s="159">
        <f t="shared" si="0"/>
        <v>0</v>
      </c>
      <c r="M6" s="159">
        <f t="shared" si="0"/>
        <v>0</v>
      </c>
      <c r="N6" s="159">
        <f t="shared" si="1"/>
        <v>0</v>
      </c>
      <c r="O6" s="159">
        <f t="shared" si="1"/>
        <v>0</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44</v>
      </c>
      <c r="AA6" s="158" t="str">
        <f t="shared" si="3"/>
        <v>SANCHEZ</v>
      </c>
    </row>
    <row r="7" spans="2:27">
      <c r="B7" s="216" t="s">
        <v>178</v>
      </c>
      <c r="C7" s="217" t="s">
        <v>179</v>
      </c>
      <c r="D7" s="159">
        <f t="shared" si="0"/>
        <v>0</v>
      </c>
      <c r="E7" s="159">
        <f t="shared" si="0"/>
        <v>0</v>
      </c>
      <c r="F7" s="159">
        <f t="shared" si="0"/>
        <v>10</v>
      </c>
      <c r="G7" s="159">
        <f t="shared" si="0"/>
        <v>0</v>
      </c>
      <c r="H7" s="159">
        <f t="shared" si="0"/>
        <v>0</v>
      </c>
      <c r="I7" s="159">
        <f t="shared" si="0"/>
        <v>19</v>
      </c>
      <c r="J7" s="159">
        <f t="shared" si="0"/>
        <v>0</v>
      </c>
      <c r="K7" s="159">
        <f t="shared" si="0"/>
        <v>0</v>
      </c>
      <c r="L7" s="159">
        <f t="shared" si="0"/>
        <v>0</v>
      </c>
      <c r="M7" s="159">
        <f t="shared" si="0"/>
        <v>0</v>
      </c>
      <c r="N7" s="159">
        <f t="shared" si="1"/>
        <v>0</v>
      </c>
      <c r="O7" s="159">
        <f t="shared" si="1"/>
        <v>0</v>
      </c>
      <c r="P7" s="159">
        <f t="shared" si="1"/>
        <v>0</v>
      </c>
      <c r="Q7" s="159">
        <f t="shared" si="1"/>
        <v>0</v>
      </c>
      <c r="R7" s="159">
        <f t="shared" si="1"/>
        <v>0</v>
      </c>
      <c r="S7" s="159">
        <f t="shared" si="1"/>
        <v>0</v>
      </c>
      <c r="T7" s="159">
        <f t="shared" si="1"/>
        <v>0</v>
      </c>
      <c r="U7" s="159">
        <f t="shared" si="1"/>
        <v>0</v>
      </c>
      <c r="V7" s="159">
        <f t="shared" si="1"/>
        <v>0</v>
      </c>
      <c r="W7" s="159">
        <f t="shared" si="1"/>
        <v>0</v>
      </c>
      <c r="X7" s="159">
        <f t="shared" si="1"/>
        <v>0</v>
      </c>
      <c r="Y7" s="159">
        <f t="shared" si="1"/>
        <v>0</v>
      </c>
      <c r="Z7" s="164">
        <f t="shared" si="2"/>
        <v>29</v>
      </c>
      <c r="AA7" s="158" t="str">
        <f t="shared" si="3"/>
        <v>FREIRE</v>
      </c>
    </row>
    <row r="8" spans="2:27">
      <c r="B8" s="216" t="s">
        <v>180</v>
      </c>
      <c r="C8" s="217" t="s">
        <v>181</v>
      </c>
      <c r="D8" s="159">
        <f t="shared" si="0"/>
        <v>12</v>
      </c>
      <c r="E8" s="159">
        <f t="shared" si="0"/>
        <v>13</v>
      </c>
      <c r="F8" s="159">
        <f t="shared" si="0"/>
        <v>2</v>
      </c>
      <c r="G8" s="159">
        <f t="shared" si="0"/>
        <v>19</v>
      </c>
      <c r="H8" s="159">
        <f t="shared" si="0"/>
        <v>3</v>
      </c>
      <c r="I8" s="159">
        <f t="shared" si="0"/>
        <v>3</v>
      </c>
      <c r="J8" s="159">
        <f t="shared" si="0"/>
        <v>14</v>
      </c>
      <c r="K8" s="159">
        <f t="shared" si="0"/>
        <v>33</v>
      </c>
      <c r="L8" s="159">
        <f t="shared" si="0"/>
        <v>30</v>
      </c>
      <c r="M8" s="159">
        <f t="shared" si="0"/>
        <v>25</v>
      </c>
      <c r="N8" s="159">
        <f t="shared" si="1"/>
        <v>18</v>
      </c>
      <c r="O8" s="159">
        <f t="shared" si="1"/>
        <v>30</v>
      </c>
      <c r="P8" s="159">
        <f t="shared" si="1"/>
        <v>17</v>
      </c>
      <c r="Q8" s="159">
        <f t="shared" si="1"/>
        <v>23</v>
      </c>
      <c r="R8" s="159">
        <f t="shared" si="1"/>
        <v>17</v>
      </c>
      <c r="S8" s="159">
        <f t="shared" si="1"/>
        <v>8</v>
      </c>
      <c r="T8" s="159">
        <f t="shared" si="1"/>
        <v>23</v>
      </c>
      <c r="U8" s="159">
        <f t="shared" si="1"/>
        <v>27</v>
      </c>
      <c r="V8" s="159">
        <f t="shared" si="1"/>
        <v>8</v>
      </c>
      <c r="W8" s="159">
        <f t="shared" si="1"/>
        <v>18</v>
      </c>
      <c r="X8" s="159">
        <f t="shared" si="1"/>
        <v>8</v>
      </c>
      <c r="Y8" s="159">
        <f t="shared" si="1"/>
        <v>52</v>
      </c>
      <c r="Z8" s="164">
        <f t="shared" si="2"/>
        <v>403</v>
      </c>
      <c r="AA8" s="158" t="str">
        <f t="shared" si="3"/>
        <v>NIBALI</v>
      </c>
    </row>
    <row r="9" spans="2:27">
      <c r="B9" s="216" t="s">
        <v>129</v>
      </c>
      <c r="C9" s="217" t="s">
        <v>182</v>
      </c>
      <c r="D9" s="159">
        <f t="shared" si="0"/>
        <v>0</v>
      </c>
      <c r="E9" s="159">
        <f t="shared" si="0"/>
        <v>43</v>
      </c>
      <c r="F9" s="159">
        <f t="shared" si="0"/>
        <v>27</v>
      </c>
      <c r="G9" s="159">
        <f t="shared" si="0"/>
        <v>43</v>
      </c>
      <c r="H9" s="159">
        <f t="shared" si="0"/>
        <v>30</v>
      </c>
      <c r="I9" s="159">
        <f t="shared" si="0"/>
        <v>8</v>
      </c>
      <c r="J9" s="159">
        <f t="shared" si="0"/>
        <v>46</v>
      </c>
      <c r="K9" s="159">
        <f t="shared" si="0"/>
        <v>5</v>
      </c>
      <c r="L9" s="159">
        <f t="shared" si="0"/>
        <v>5</v>
      </c>
      <c r="M9" s="159">
        <f t="shared" si="0"/>
        <v>5</v>
      </c>
      <c r="N9" s="159">
        <f t="shared" si="1"/>
        <v>5</v>
      </c>
      <c r="O9" s="159">
        <f t="shared" si="1"/>
        <v>5</v>
      </c>
      <c r="P9" s="159">
        <f t="shared" si="1"/>
        <v>25</v>
      </c>
      <c r="Q9" s="159">
        <f t="shared" si="1"/>
        <v>35</v>
      </c>
      <c r="R9" s="159">
        <f t="shared" si="1"/>
        <v>35</v>
      </c>
      <c r="S9" s="159">
        <f t="shared" si="1"/>
        <v>22</v>
      </c>
      <c r="T9" s="159">
        <f t="shared" si="1"/>
        <v>5</v>
      </c>
      <c r="U9" s="159">
        <f t="shared" si="1"/>
        <v>5</v>
      </c>
      <c r="V9" s="159">
        <f t="shared" si="1"/>
        <v>31</v>
      </c>
      <c r="W9" s="159">
        <f t="shared" si="1"/>
        <v>5</v>
      </c>
      <c r="X9" s="159">
        <f t="shared" si="1"/>
        <v>35</v>
      </c>
      <c r="Y9" s="159">
        <f t="shared" si="1"/>
        <v>10</v>
      </c>
      <c r="Z9" s="164">
        <f t="shared" si="2"/>
        <v>430</v>
      </c>
      <c r="AA9" s="158" t="str">
        <f t="shared" si="3"/>
        <v>SAGAN</v>
      </c>
    </row>
    <row r="10" spans="2:27">
      <c r="B10" s="216" t="s">
        <v>160</v>
      </c>
      <c r="C10" s="217" t="s">
        <v>183</v>
      </c>
      <c r="D10" s="159">
        <f t="shared" si="0"/>
        <v>0</v>
      </c>
      <c r="E10" s="159">
        <f t="shared" si="0"/>
        <v>15</v>
      </c>
      <c r="F10" s="159">
        <f t="shared" si="0"/>
        <v>0</v>
      </c>
      <c r="G10" s="159">
        <f t="shared" si="0"/>
        <v>0</v>
      </c>
      <c r="H10" s="159">
        <f t="shared" si="0"/>
        <v>0</v>
      </c>
      <c r="I10" s="159">
        <f t="shared" si="0"/>
        <v>0</v>
      </c>
      <c r="J10" s="159">
        <f t="shared" si="0"/>
        <v>0</v>
      </c>
      <c r="K10" s="159">
        <f t="shared" si="0"/>
        <v>0</v>
      </c>
      <c r="L10" s="159">
        <f t="shared" si="0"/>
        <v>23</v>
      </c>
      <c r="M10" s="159">
        <f t="shared" si="0"/>
        <v>2</v>
      </c>
      <c r="N10" s="159">
        <f t="shared" si="1"/>
        <v>20</v>
      </c>
      <c r="O10" s="159">
        <f t="shared" si="1"/>
        <v>30</v>
      </c>
      <c r="P10" s="159">
        <f t="shared" si="1"/>
        <v>14</v>
      </c>
      <c r="Q10" s="159">
        <f t="shared" si="1"/>
        <v>15</v>
      </c>
      <c r="R10" s="159">
        <f t="shared" si="1"/>
        <v>6</v>
      </c>
      <c r="S10" s="159">
        <f t="shared" si="1"/>
        <v>6</v>
      </c>
      <c r="T10" s="159">
        <f t="shared" si="1"/>
        <v>17</v>
      </c>
      <c r="U10" s="159">
        <f t="shared" si="1"/>
        <v>27</v>
      </c>
      <c r="V10" s="159">
        <f t="shared" si="1"/>
        <v>7</v>
      </c>
      <c r="W10" s="159">
        <f t="shared" si="1"/>
        <v>7</v>
      </c>
      <c r="X10" s="159">
        <f t="shared" si="1"/>
        <v>7</v>
      </c>
      <c r="Y10" s="159">
        <f t="shared" si="1"/>
        <v>48</v>
      </c>
      <c r="Z10" s="164">
        <f t="shared" si="2"/>
        <v>244</v>
      </c>
      <c r="AA10" s="158" t="str">
        <f t="shared" si="3"/>
        <v>VAN DEN BROECK</v>
      </c>
    </row>
    <row r="11" spans="2:27">
      <c r="B11" s="216" t="s">
        <v>171</v>
      </c>
      <c r="C11" s="217" t="s">
        <v>184</v>
      </c>
      <c r="D11" s="159">
        <f t="shared" si="0"/>
        <v>0</v>
      </c>
      <c r="E11" s="159">
        <f t="shared" si="0"/>
        <v>0</v>
      </c>
      <c r="F11" s="159">
        <f t="shared" si="0"/>
        <v>30</v>
      </c>
      <c r="G11" s="159">
        <f t="shared" si="0"/>
        <v>0</v>
      </c>
      <c r="H11" s="159">
        <f t="shared" si="0"/>
        <v>38</v>
      </c>
      <c r="I11" s="159">
        <f t="shared" si="0"/>
        <v>38</v>
      </c>
      <c r="J11" s="159">
        <f t="shared" si="0"/>
        <v>33</v>
      </c>
      <c r="K11" s="159">
        <f t="shared" si="0"/>
        <v>3</v>
      </c>
      <c r="L11" s="159">
        <f t="shared" si="0"/>
        <v>3</v>
      </c>
      <c r="M11" s="159">
        <f t="shared" si="0"/>
        <v>3</v>
      </c>
      <c r="N11" s="159">
        <f t="shared" si="1"/>
        <v>3</v>
      </c>
      <c r="O11" s="159">
        <f t="shared" si="1"/>
        <v>3</v>
      </c>
      <c r="P11" s="159">
        <f t="shared" si="1"/>
        <v>3</v>
      </c>
      <c r="Q11" s="159">
        <f t="shared" si="1"/>
        <v>39</v>
      </c>
      <c r="R11" s="159">
        <f t="shared" si="1"/>
        <v>4</v>
      </c>
      <c r="S11" s="159">
        <f t="shared" si="1"/>
        <v>23</v>
      </c>
      <c r="T11" s="159">
        <f t="shared" si="1"/>
        <v>4</v>
      </c>
      <c r="U11" s="159">
        <f t="shared" si="1"/>
        <v>4</v>
      </c>
      <c r="V11" s="159">
        <f t="shared" si="1"/>
        <v>19</v>
      </c>
      <c r="W11" s="159">
        <f t="shared" si="1"/>
        <v>4</v>
      </c>
      <c r="X11" s="159">
        <f t="shared" si="1"/>
        <v>22</v>
      </c>
      <c r="Y11" s="159">
        <f t="shared" si="1"/>
        <v>7</v>
      </c>
      <c r="Z11" s="164">
        <f t="shared" si="2"/>
        <v>283</v>
      </c>
      <c r="AA11" s="158" t="str">
        <f t="shared" si="3"/>
        <v>GREIPEL</v>
      </c>
    </row>
    <row r="12" spans="2:27">
      <c r="B12" s="216" t="s">
        <v>134</v>
      </c>
      <c r="C12" s="217" t="s">
        <v>185</v>
      </c>
      <c r="D12" s="159">
        <f t="shared" si="0"/>
        <v>0</v>
      </c>
      <c r="E12" s="159">
        <f t="shared" si="0"/>
        <v>0</v>
      </c>
      <c r="F12" s="159">
        <f t="shared" si="0"/>
        <v>15</v>
      </c>
      <c r="G12" s="159">
        <f t="shared" si="0"/>
        <v>0</v>
      </c>
      <c r="H12" s="159">
        <f t="shared" si="0"/>
        <v>0</v>
      </c>
      <c r="I12" s="159">
        <f t="shared" si="0"/>
        <v>0</v>
      </c>
      <c r="J12" s="159">
        <f t="shared" si="0"/>
        <v>0</v>
      </c>
      <c r="K12" s="159">
        <f t="shared" si="0"/>
        <v>0</v>
      </c>
      <c r="L12" s="159">
        <f t="shared" si="0"/>
        <v>0</v>
      </c>
      <c r="M12" s="159">
        <f t="shared" si="0"/>
        <v>0</v>
      </c>
      <c r="N12" s="159">
        <f t="shared" si="1"/>
        <v>0</v>
      </c>
      <c r="O12" s="159">
        <f t="shared" si="1"/>
        <v>0</v>
      </c>
      <c r="P12" s="159">
        <f t="shared" si="1"/>
        <v>0</v>
      </c>
      <c r="Q12" s="159">
        <f t="shared" si="1"/>
        <v>0</v>
      </c>
      <c r="R12" s="159">
        <f t="shared" si="1"/>
        <v>0</v>
      </c>
      <c r="S12" s="159">
        <f t="shared" si="1"/>
        <v>0</v>
      </c>
      <c r="T12" s="159">
        <f t="shared" si="1"/>
        <v>0</v>
      </c>
      <c r="U12" s="159">
        <f t="shared" si="1"/>
        <v>0</v>
      </c>
      <c r="V12" s="159">
        <f t="shared" si="1"/>
        <v>0</v>
      </c>
      <c r="W12" s="159">
        <f t="shared" si="1"/>
        <v>0</v>
      </c>
      <c r="X12" s="159">
        <f t="shared" si="1"/>
        <v>0</v>
      </c>
      <c r="Y12" s="159">
        <f t="shared" si="1"/>
        <v>0</v>
      </c>
      <c r="Z12" s="164">
        <f t="shared" si="2"/>
        <v>15</v>
      </c>
      <c r="AA12" s="158" t="str">
        <f t="shared" si="3"/>
        <v>ROJAS</v>
      </c>
    </row>
    <row r="13" spans="2:27">
      <c r="B13" s="216" t="s">
        <v>186</v>
      </c>
      <c r="C13" s="217" t="s">
        <v>187</v>
      </c>
      <c r="D13" s="159">
        <f t="shared" si="0"/>
        <v>0</v>
      </c>
      <c r="E13" s="159">
        <f t="shared" si="0"/>
        <v>20</v>
      </c>
      <c r="F13" s="159">
        <f t="shared" si="0"/>
        <v>0</v>
      </c>
      <c r="G13" s="159">
        <f t="shared" si="0"/>
        <v>0</v>
      </c>
      <c r="H13" s="159">
        <f t="shared" si="0"/>
        <v>0</v>
      </c>
      <c r="I13" s="159">
        <f t="shared" si="0"/>
        <v>0</v>
      </c>
      <c r="J13" s="159">
        <f t="shared" si="0"/>
        <v>0</v>
      </c>
      <c r="K13" s="159">
        <f t="shared" si="0"/>
        <v>0</v>
      </c>
      <c r="L13" s="159">
        <f t="shared" si="0"/>
        <v>0</v>
      </c>
      <c r="M13" s="159">
        <f t="shared" si="0"/>
        <v>0</v>
      </c>
      <c r="N13" s="159">
        <f t="shared" si="1"/>
        <v>9</v>
      </c>
      <c r="O13" s="159">
        <f t="shared" si="1"/>
        <v>0</v>
      </c>
      <c r="P13" s="159">
        <f t="shared" si="1"/>
        <v>0</v>
      </c>
      <c r="Q13" s="159">
        <f t="shared" si="1"/>
        <v>0</v>
      </c>
      <c r="R13" s="159">
        <f t="shared" si="1"/>
        <v>0</v>
      </c>
      <c r="S13" s="159">
        <f t="shared" si="1"/>
        <v>0</v>
      </c>
      <c r="T13" s="159">
        <f t="shared" si="1"/>
        <v>8</v>
      </c>
      <c r="U13" s="159">
        <f t="shared" si="1"/>
        <v>36</v>
      </c>
      <c r="V13" s="159">
        <f t="shared" si="1"/>
        <v>1</v>
      </c>
      <c r="W13" s="159">
        <f t="shared" si="1"/>
        <v>1</v>
      </c>
      <c r="X13" s="159">
        <f t="shared" si="1"/>
        <v>1</v>
      </c>
      <c r="Y13" s="159">
        <f t="shared" si="1"/>
        <v>13</v>
      </c>
      <c r="Z13" s="164">
        <f t="shared" si="2"/>
        <v>89</v>
      </c>
      <c r="AA13" s="158" t="str">
        <f t="shared" si="3"/>
        <v>VALVERDE</v>
      </c>
    </row>
    <row r="14" spans="2:27">
      <c r="B14" s="216" t="s">
        <v>135</v>
      </c>
      <c r="C14" s="217" t="s">
        <v>188</v>
      </c>
      <c r="D14" s="159">
        <f t="shared" ref="D14:M20" si="4">INDEX(scorematrix,MATCH($C14,renners,0),MATCH(D$3,etappes,0))</f>
        <v>0</v>
      </c>
      <c r="E14" s="159">
        <f t="shared" si="4"/>
        <v>0</v>
      </c>
      <c r="F14" s="159">
        <f t="shared" si="4"/>
        <v>28</v>
      </c>
      <c r="G14" s="159">
        <f t="shared" si="4"/>
        <v>1</v>
      </c>
      <c r="H14" s="159">
        <f t="shared" si="4"/>
        <v>28</v>
      </c>
      <c r="I14" s="159">
        <f t="shared" si="4"/>
        <v>34</v>
      </c>
      <c r="J14" s="159">
        <f t="shared" si="4"/>
        <v>30</v>
      </c>
      <c r="K14" s="159">
        <f t="shared" si="4"/>
        <v>4</v>
      </c>
      <c r="L14" s="159">
        <f t="shared" si="4"/>
        <v>4</v>
      </c>
      <c r="M14" s="159">
        <f t="shared" si="4"/>
        <v>4</v>
      </c>
      <c r="N14" s="159">
        <f t="shared" ref="N14:Y20" si="5">INDEX(scorematrix,MATCH($C14,renners,0),MATCH(N$3,etappes,0))</f>
        <v>4</v>
      </c>
      <c r="O14" s="159">
        <f t="shared" si="5"/>
        <v>4</v>
      </c>
      <c r="P14" s="159">
        <f t="shared" si="5"/>
        <v>23</v>
      </c>
      <c r="Q14" s="159">
        <f t="shared" si="5"/>
        <v>3</v>
      </c>
      <c r="R14" s="159">
        <f t="shared" si="5"/>
        <v>3</v>
      </c>
      <c r="S14" s="159">
        <f t="shared" si="5"/>
        <v>3</v>
      </c>
      <c r="T14" s="159">
        <f t="shared" si="5"/>
        <v>3</v>
      </c>
      <c r="U14" s="159">
        <f t="shared" si="5"/>
        <v>3</v>
      </c>
      <c r="V14" s="159">
        <f t="shared" si="5"/>
        <v>33</v>
      </c>
      <c r="W14" s="159">
        <f t="shared" si="5"/>
        <v>3</v>
      </c>
      <c r="X14" s="159">
        <f t="shared" si="5"/>
        <v>29</v>
      </c>
      <c r="Y14" s="159">
        <f t="shared" si="5"/>
        <v>5</v>
      </c>
      <c r="Z14" s="164">
        <f t="shared" si="2"/>
        <v>249</v>
      </c>
      <c r="AA14" s="158" t="str">
        <f t="shared" si="3"/>
        <v>GOSS</v>
      </c>
    </row>
    <row r="15" spans="2:27">
      <c r="B15" s="216" t="s">
        <v>121</v>
      </c>
      <c r="C15" s="217" t="s">
        <v>189</v>
      </c>
      <c r="D15" s="159">
        <f t="shared" si="4"/>
        <v>0</v>
      </c>
      <c r="E15" s="159">
        <f t="shared" si="4"/>
        <v>19</v>
      </c>
      <c r="F15" s="159">
        <f t="shared" si="4"/>
        <v>0</v>
      </c>
      <c r="G15" s="159">
        <f t="shared" si="4"/>
        <v>8</v>
      </c>
      <c r="H15" s="159">
        <f t="shared" si="4"/>
        <v>0</v>
      </c>
      <c r="I15" s="159">
        <f t="shared" si="4"/>
        <v>0</v>
      </c>
      <c r="J15" s="159">
        <f t="shared" si="4"/>
        <v>0</v>
      </c>
      <c r="K15" s="159">
        <f t="shared" si="4"/>
        <v>0</v>
      </c>
      <c r="L15" s="159">
        <f t="shared" si="4"/>
        <v>0</v>
      </c>
      <c r="M15" s="159">
        <f t="shared" si="4"/>
        <v>0</v>
      </c>
      <c r="N15" s="159">
        <f t="shared" si="5"/>
        <v>0</v>
      </c>
      <c r="O15" s="159">
        <f t="shared" si="5"/>
        <v>0</v>
      </c>
      <c r="P15" s="159">
        <f t="shared" si="5"/>
        <v>0</v>
      </c>
      <c r="Q15" s="159">
        <f t="shared" si="5"/>
        <v>0</v>
      </c>
      <c r="R15" s="159">
        <f t="shared" si="5"/>
        <v>0</v>
      </c>
      <c r="S15" s="159">
        <f t="shared" si="5"/>
        <v>0</v>
      </c>
      <c r="T15" s="159">
        <f t="shared" si="5"/>
        <v>0</v>
      </c>
      <c r="U15" s="159">
        <f t="shared" si="5"/>
        <v>0</v>
      </c>
      <c r="V15" s="159">
        <f t="shared" si="5"/>
        <v>0</v>
      </c>
      <c r="W15" s="159">
        <f t="shared" si="5"/>
        <v>0</v>
      </c>
      <c r="X15" s="159">
        <f t="shared" si="5"/>
        <v>0</v>
      </c>
      <c r="Y15" s="159">
        <f t="shared" si="5"/>
        <v>0</v>
      </c>
      <c r="Z15" s="164">
        <f t="shared" si="2"/>
        <v>27</v>
      </c>
      <c r="AA15" s="158" t="str">
        <f t="shared" si="3"/>
        <v>GESINK</v>
      </c>
    </row>
    <row r="16" spans="2:27">
      <c r="B16" s="216" t="s">
        <v>145</v>
      </c>
      <c r="C16" s="217" t="s">
        <v>190</v>
      </c>
      <c r="D16" s="159">
        <f t="shared" si="4"/>
        <v>50</v>
      </c>
      <c r="E16" s="159">
        <f t="shared" si="4"/>
        <v>45</v>
      </c>
      <c r="F16" s="159">
        <f t="shared" si="4"/>
        <v>13</v>
      </c>
      <c r="G16" s="159">
        <f t="shared" si="4"/>
        <v>38</v>
      </c>
      <c r="H16" s="159">
        <f t="shared" si="4"/>
        <v>10</v>
      </c>
      <c r="I16" s="159">
        <f t="shared" si="4"/>
        <v>10</v>
      </c>
      <c r="J16" s="159">
        <f t="shared" si="4"/>
        <v>10</v>
      </c>
      <c r="K16" s="159">
        <f t="shared" si="4"/>
        <v>6</v>
      </c>
      <c r="L16" s="159">
        <f t="shared" si="4"/>
        <v>0</v>
      </c>
      <c r="M16" s="159">
        <f t="shared" si="4"/>
        <v>26</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208</v>
      </c>
      <c r="AA16" s="158" t="str">
        <f t="shared" si="3"/>
        <v>CANCELLARA</v>
      </c>
    </row>
    <row r="17" spans="2:27" s="218" customFormat="1">
      <c r="B17" s="216" t="s">
        <v>150</v>
      </c>
      <c r="C17" s="217" t="s">
        <v>191</v>
      </c>
      <c r="D17" s="159">
        <f t="shared" si="4"/>
        <v>0</v>
      </c>
      <c r="E17" s="159">
        <f t="shared" si="4"/>
        <v>0</v>
      </c>
      <c r="F17" s="159">
        <f t="shared" si="4"/>
        <v>39</v>
      </c>
      <c r="G17" s="159">
        <f t="shared" si="4"/>
        <v>3</v>
      </c>
      <c r="H17" s="159">
        <f t="shared" si="4"/>
        <v>2</v>
      </c>
      <c r="I17" s="159">
        <f t="shared" si="4"/>
        <v>24</v>
      </c>
      <c r="J17" s="159">
        <f t="shared" si="4"/>
        <v>2</v>
      </c>
      <c r="K17" s="159">
        <f t="shared" si="4"/>
        <v>2</v>
      </c>
      <c r="L17" s="159">
        <f t="shared" si="4"/>
        <v>2</v>
      </c>
      <c r="M17" s="159">
        <f t="shared" si="4"/>
        <v>2</v>
      </c>
      <c r="N17" s="159">
        <f t="shared" si="5"/>
        <v>2</v>
      </c>
      <c r="O17" s="159">
        <f t="shared" si="5"/>
        <v>2</v>
      </c>
      <c r="P17" s="159">
        <f t="shared" si="5"/>
        <v>2</v>
      </c>
      <c r="Q17" s="159">
        <f t="shared" si="5"/>
        <v>2</v>
      </c>
      <c r="R17" s="159">
        <f t="shared" si="5"/>
        <v>2</v>
      </c>
      <c r="S17" s="159">
        <f t="shared" si="5"/>
        <v>2</v>
      </c>
      <c r="T17" s="159">
        <f t="shared" si="5"/>
        <v>2</v>
      </c>
      <c r="U17" s="159">
        <f t="shared" si="5"/>
        <v>2</v>
      </c>
      <c r="V17" s="159">
        <f t="shared" si="5"/>
        <v>37</v>
      </c>
      <c r="W17" s="159">
        <f t="shared" si="5"/>
        <v>2</v>
      </c>
      <c r="X17" s="159">
        <f t="shared" si="5"/>
        <v>37</v>
      </c>
      <c r="Y17" s="159">
        <f t="shared" si="5"/>
        <v>3</v>
      </c>
      <c r="Z17" s="164">
        <f t="shared" si="2"/>
        <v>171</v>
      </c>
      <c r="AA17" s="158" t="str">
        <f t="shared" si="3"/>
        <v>CAVENDISH</v>
      </c>
    </row>
    <row r="18" spans="2:27">
      <c r="B18" s="216" t="s">
        <v>192</v>
      </c>
      <c r="C18" s="217" t="s">
        <v>193</v>
      </c>
      <c r="D18" s="159">
        <f t="shared" si="4"/>
        <v>15</v>
      </c>
      <c r="E18" s="159">
        <f t="shared" si="4"/>
        <v>0</v>
      </c>
      <c r="F18" s="159">
        <f t="shared" si="4"/>
        <v>0</v>
      </c>
      <c r="G18" s="159">
        <f t="shared" si="4"/>
        <v>0</v>
      </c>
      <c r="H18" s="159">
        <f t="shared" si="4"/>
        <v>0</v>
      </c>
      <c r="I18" s="159">
        <f t="shared" si="4"/>
        <v>0</v>
      </c>
      <c r="J18" s="159">
        <f t="shared" si="4"/>
        <v>0</v>
      </c>
      <c r="K18" s="159">
        <f t="shared" si="4"/>
        <v>42</v>
      </c>
      <c r="L18" s="159">
        <f t="shared" si="4"/>
        <v>28</v>
      </c>
      <c r="M18" s="159">
        <f t="shared" si="4"/>
        <v>42</v>
      </c>
      <c r="N18" s="159">
        <f t="shared" si="5"/>
        <v>18</v>
      </c>
      <c r="O18" s="159">
        <f t="shared" si="5"/>
        <v>36</v>
      </c>
      <c r="P18" s="159">
        <f t="shared" si="5"/>
        <v>20</v>
      </c>
      <c r="Q18" s="159">
        <f t="shared" si="5"/>
        <v>20</v>
      </c>
      <c r="R18" s="159">
        <f t="shared" si="5"/>
        <v>15</v>
      </c>
      <c r="S18" s="159">
        <f t="shared" si="5"/>
        <v>9</v>
      </c>
      <c r="T18" s="159">
        <f t="shared" si="5"/>
        <v>22</v>
      </c>
      <c r="U18" s="159">
        <f t="shared" si="5"/>
        <v>39</v>
      </c>
      <c r="V18" s="159">
        <f t="shared" si="5"/>
        <v>9</v>
      </c>
      <c r="W18" s="159">
        <f t="shared" si="5"/>
        <v>39</v>
      </c>
      <c r="X18" s="159">
        <f t="shared" si="5"/>
        <v>9</v>
      </c>
      <c r="Y18" s="159">
        <f t="shared" si="5"/>
        <v>60</v>
      </c>
      <c r="Z18" s="164">
        <f t="shared" si="2"/>
        <v>423</v>
      </c>
      <c r="AA18" s="158" t="str">
        <f t="shared" si="3"/>
        <v>FROOME</v>
      </c>
    </row>
    <row r="19" spans="2:27">
      <c r="B19" s="216" t="s">
        <v>194</v>
      </c>
      <c r="C19" s="217" t="s">
        <v>195</v>
      </c>
      <c r="D19" s="159">
        <f t="shared" si="4"/>
        <v>29</v>
      </c>
      <c r="E19" s="159">
        <f t="shared" si="4"/>
        <v>35</v>
      </c>
      <c r="F19" s="159">
        <f t="shared" si="4"/>
        <v>14</v>
      </c>
      <c r="G19" s="159">
        <f t="shared" si="4"/>
        <v>38</v>
      </c>
      <c r="H19" s="159">
        <f t="shared" si="4"/>
        <v>24</v>
      </c>
      <c r="I19" s="159">
        <f t="shared" si="4"/>
        <v>6</v>
      </c>
      <c r="J19" s="159">
        <f t="shared" si="4"/>
        <v>0</v>
      </c>
      <c r="K19" s="159">
        <f t="shared" si="4"/>
        <v>0</v>
      </c>
      <c r="L19" s="159">
        <f t="shared" si="4"/>
        <v>0</v>
      </c>
      <c r="M19" s="159">
        <f t="shared" si="4"/>
        <v>0</v>
      </c>
      <c r="N19" s="159">
        <f t="shared" si="5"/>
        <v>0</v>
      </c>
      <c r="O19" s="159">
        <f t="shared" si="5"/>
        <v>0</v>
      </c>
      <c r="P19" s="159">
        <f t="shared" si="5"/>
        <v>0</v>
      </c>
      <c r="Q19" s="159">
        <f t="shared" si="5"/>
        <v>27</v>
      </c>
      <c r="R19" s="159">
        <f t="shared" si="5"/>
        <v>1</v>
      </c>
      <c r="S19" s="159">
        <f t="shared" si="5"/>
        <v>1</v>
      </c>
      <c r="T19" s="159">
        <f t="shared" si="5"/>
        <v>1</v>
      </c>
      <c r="U19" s="159">
        <f t="shared" si="5"/>
        <v>1</v>
      </c>
      <c r="V19" s="159">
        <f t="shared" si="5"/>
        <v>14</v>
      </c>
      <c r="W19" s="159">
        <f t="shared" si="5"/>
        <v>1</v>
      </c>
      <c r="X19" s="159">
        <f t="shared" si="5"/>
        <v>18</v>
      </c>
      <c r="Y19" s="159">
        <f t="shared" si="5"/>
        <v>1</v>
      </c>
      <c r="Z19" s="164">
        <f t="shared" si="2"/>
        <v>211</v>
      </c>
      <c r="AA19" s="158" t="str">
        <f t="shared" si="3"/>
        <v>BOASSON HAGEN</v>
      </c>
    </row>
    <row r="20" spans="2:27">
      <c r="B20" s="216" t="s">
        <v>71</v>
      </c>
      <c r="C20" s="217" t="s">
        <v>196</v>
      </c>
      <c r="D20" s="159">
        <f t="shared" si="4"/>
        <v>43</v>
      </c>
      <c r="E20" s="159">
        <f t="shared" si="4"/>
        <v>19</v>
      </c>
      <c r="F20" s="159">
        <f t="shared" si="4"/>
        <v>9</v>
      </c>
      <c r="G20" s="159">
        <f t="shared" si="4"/>
        <v>9</v>
      </c>
      <c r="H20" s="159">
        <f t="shared" si="4"/>
        <v>9</v>
      </c>
      <c r="I20" s="159">
        <f t="shared" si="4"/>
        <v>17</v>
      </c>
      <c r="J20" s="159">
        <f t="shared" si="4"/>
        <v>9</v>
      </c>
      <c r="K20" s="159">
        <f t="shared" si="4"/>
        <v>39</v>
      </c>
      <c r="L20" s="159">
        <f t="shared" si="4"/>
        <v>35</v>
      </c>
      <c r="M20" s="159">
        <f t="shared" si="4"/>
        <v>46</v>
      </c>
      <c r="N20" s="159">
        <f t="shared" si="5"/>
        <v>23</v>
      </c>
      <c r="O20" s="159">
        <f t="shared" si="5"/>
        <v>30</v>
      </c>
      <c r="P20" s="159">
        <f t="shared" si="5"/>
        <v>24</v>
      </c>
      <c r="Q20" s="159">
        <f t="shared" si="5"/>
        <v>24</v>
      </c>
      <c r="R20" s="159">
        <f t="shared" si="5"/>
        <v>21</v>
      </c>
      <c r="S20" s="159">
        <f t="shared" si="5"/>
        <v>10</v>
      </c>
      <c r="T20" s="159">
        <f t="shared" si="5"/>
        <v>24</v>
      </c>
      <c r="U20" s="159">
        <f t="shared" si="5"/>
        <v>36</v>
      </c>
      <c r="V20" s="159">
        <f t="shared" si="5"/>
        <v>17</v>
      </c>
      <c r="W20" s="159">
        <f t="shared" si="5"/>
        <v>45</v>
      </c>
      <c r="X20" s="159">
        <f t="shared" si="5"/>
        <v>10</v>
      </c>
      <c r="Y20" s="159">
        <f t="shared" si="5"/>
        <v>70</v>
      </c>
      <c r="Z20" s="164">
        <f t="shared" si="2"/>
        <v>569</v>
      </c>
      <c r="AA20" s="158" t="str">
        <f t="shared" si="3"/>
        <v>WIGGINS</v>
      </c>
    </row>
    <row r="21" spans="2:27" s="219" customFormat="1">
      <c r="C21" s="238"/>
      <c r="D21" s="221"/>
      <c r="E21" s="221"/>
      <c r="F21" s="221"/>
      <c r="G21" s="221"/>
      <c r="H21" s="221"/>
      <c r="I21" s="221"/>
      <c r="J21" s="221"/>
      <c r="K21" s="221"/>
      <c r="L21" s="221"/>
      <c r="M21" s="221">
        <f>M25</f>
        <v>14</v>
      </c>
      <c r="N21" s="221"/>
      <c r="O21" s="221"/>
      <c r="P21" s="221"/>
      <c r="Q21" s="221"/>
      <c r="R21" s="221"/>
      <c r="S21" s="221"/>
      <c r="T21" s="221"/>
      <c r="U21" s="221"/>
      <c r="V21" s="221"/>
      <c r="W21" s="221"/>
      <c r="X21" s="221"/>
      <c r="Y21" s="221"/>
      <c r="Z21" s="246"/>
    </row>
    <row r="22" spans="2:27" s="162" customFormat="1">
      <c r="C22" s="177"/>
      <c r="D22" s="223">
        <f t="shared" ref="D22:Z22" si="6">SUM(D4:D21)</f>
        <v>162</v>
      </c>
      <c r="E22" s="223">
        <f t="shared" ref="E22" si="7">SUM(E4:E21)</f>
        <v>218</v>
      </c>
      <c r="F22" s="223">
        <f>SUM(F4:F21)</f>
        <v>190</v>
      </c>
      <c r="G22" s="223">
        <f t="shared" si="6"/>
        <v>201</v>
      </c>
      <c r="H22" s="223">
        <f t="shared" si="6"/>
        <v>148</v>
      </c>
      <c r="I22" s="223">
        <f t="shared" si="6"/>
        <v>172</v>
      </c>
      <c r="J22" s="223">
        <f t="shared" si="6"/>
        <v>168</v>
      </c>
      <c r="K22" s="223">
        <f t="shared" si="6"/>
        <v>187</v>
      </c>
      <c r="L22" s="223">
        <f t="shared" si="6"/>
        <v>172</v>
      </c>
      <c r="M22" s="223">
        <f t="shared" si="6"/>
        <v>201</v>
      </c>
      <c r="N22" s="223">
        <f t="shared" si="6"/>
        <v>125</v>
      </c>
      <c r="O22" s="223">
        <f t="shared" si="6"/>
        <v>162</v>
      </c>
      <c r="P22" s="223">
        <f t="shared" si="6"/>
        <v>153</v>
      </c>
      <c r="Q22" s="223">
        <f t="shared" si="6"/>
        <v>205</v>
      </c>
      <c r="R22" s="223">
        <f t="shared" si="6"/>
        <v>121</v>
      </c>
      <c r="S22" s="223">
        <f t="shared" si="6"/>
        <v>91</v>
      </c>
      <c r="T22" s="223">
        <f t="shared" si="6"/>
        <v>113</v>
      </c>
      <c r="U22" s="223">
        <f t="shared" si="6"/>
        <v>193</v>
      </c>
      <c r="V22" s="223">
        <f t="shared" si="6"/>
        <v>181</v>
      </c>
      <c r="W22" s="223">
        <f t="shared" si="6"/>
        <v>129</v>
      </c>
      <c r="X22" s="223">
        <f t="shared" si="6"/>
        <v>180</v>
      </c>
      <c r="Y22" s="223">
        <f t="shared" si="6"/>
        <v>307</v>
      </c>
      <c r="Z22" s="224">
        <f t="shared" si="6"/>
        <v>3765</v>
      </c>
    </row>
    <row r="23" spans="2:27"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197</v>
      </c>
      <c r="C24" s="228" t="s">
        <v>198</v>
      </c>
      <c r="D24" s="295">
        <f t="shared" ref="D24:Y26" si="8">INDEX(scorematrix,MATCH($C24,renners,0),MATCH(D$3,etappes,0))</f>
        <v>0</v>
      </c>
      <c r="E24" s="295">
        <f t="shared" si="8"/>
        <v>0</v>
      </c>
      <c r="F24" s="295">
        <f t="shared" si="8"/>
        <v>16</v>
      </c>
      <c r="G24" s="295">
        <f t="shared" si="8"/>
        <v>0</v>
      </c>
      <c r="H24" s="295">
        <f t="shared" si="8"/>
        <v>0</v>
      </c>
      <c r="I24" s="295">
        <f t="shared" si="8"/>
        <v>0</v>
      </c>
      <c r="J24" s="295">
        <f t="shared" si="8"/>
        <v>0</v>
      </c>
      <c r="K24" s="295">
        <f t="shared" si="8"/>
        <v>0</v>
      </c>
      <c r="L24" s="297">
        <f t="shared" si="8"/>
        <v>0</v>
      </c>
      <c r="M24" s="297">
        <f t="shared" si="8"/>
        <v>0</v>
      </c>
      <c r="N24" s="295">
        <f t="shared" si="8"/>
        <v>0</v>
      </c>
      <c r="O24" s="295">
        <f t="shared" si="8"/>
        <v>0</v>
      </c>
      <c r="P24" s="295">
        <f t="shared" si="8"/>
        <v>0</v>
      </c>
      <c r="Q24" s="296">
        <f t="shared" si="8"/>
        <v>0</v>
      </c>
      <c r="R24" s="295">
        <f t="shared" si="8"/>
        <v>0</v>
      </c>
      <c r="S24" s="295">
        <f t="shared" si="8"/>
        <v>18</v>
      </c>
      <c r="T24" s="295">
        <f t="shared" si="8"/>
        <v>0</v>
      </c>
      <c r="U24" s="295">
        <f t="shared" si="8"/>
        <v>0</v>
      </c>
      <c r="V24" s="295">
        <f t="shared" si="8"/>
        <v>20</v>
      </c>
      <c r="W24" s="295">
        <f t="shared" si="8"/>
        <v>0</v>
      </c>
      <c r="X24" s="295">
        <f t="shared" si="8"/>
        <v>15</v>
      </c>
      <c r="Y24" s="295">
        <f t="shared" si="8"/>
        <v>0</v>
      </c>
      <c r="Z24" s="254">
        <f>SUM(D24:Y24)</f>
        <v>69</v>
      </c>
    </row>
    <row r="25" spans="2:27" s="230" customFormat="1">
      <c r="B25" s="216" t="s">
        <v>144</v>
      </c>
      <c r="C25" s="228" t="s">
        <v>199</v>
      </c>
      <c r="D25" s="295">
        <f t="shared" si="8"/>
        <v>0</v>
      </c>
      <c r="E25" s="295">
        <f t="shared" si="8"/>
        <v>0</v>
      </c>
      <c r="F25" s="295">
        <f t="shared" si="8"/>
        <v>0</v>
      </c>
      <c r="G25" s="295">
        <f t="shared" si="8"/>
        <v>0</v>
      </c>
      <c r="H25" s="295">
        <f t="shared" si="8"/>
        <v>0</v>
      </c>
      <c r="I25" s="295">
        <f t="shared" si="8"/>
        <v>0</v>
      </c>
      <c r="J25" s="295">
        <f t="shared" si="8"/>
        <v>0</v>
      </c>
      <c r="K25" s="295">
        <f t="shared" si="8"/>
        <v>0</v>
      </c>
      <c r="L25" s="297">
        <f t="shared" si="8"/>
        <v>0</v>
      </c>
      <c r="M25" s="296">
        <f t="shared" si="8"/>
        <v>14</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54">
        <f>SUM(D25:Y25)</f>
        <v>14</v>
      </c>
    </row>
    <row r="26" spans="2:27" s="230" customFormat="1">
      <c r="B26" s="216" t="s">
        <v>200</v>
      </c>
      <c r="C26" s="228" t="s">
        <v>201</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5">
        <f t="shared" si="8"/>
        <v>0</v>
      </c>
      <c r="N26" s="295">
        <f t="shared" si="8"/>
        <v>0</v>
      </c>
      <c r="O26" s="295">
        <f t="shared" si="8"/>
        <v>0</v>
      </c>
      <c r="P26" s="295">
        <f t="shared" si="8"/>
        <v>0</v>
      </c>
      <c r="Q26" s="295">
        <f t="shared" si="8"/>
        <v>0</v>
      </c>
      <c r="R26" s="295">
        <f t="shared" si="8"/>
        <v>0</v>
      </c>
      <c r="S26" s="295">
        <f t="shared" si="8"/>
        <v>0</v>
      </c>
      <c r="T26" s="295">
        <f t="shared" si="8"/>
        <v>0</v>
      </c>
      <c r="U26" s="295">
        <f t="shared" si="8"/>
        <v>0</v>
      </c>
      <c r="V26" s="295">
        <f t="shared" si="8"/>
        <v>0</v>
      </c>
      <c r="W26" s="295">
        <f t="shared" si="8"/>
        <v>0</v>
      </c>
      <c r="X26" s="295">
        <f t="shared" si="8"/>
        <v>0</v>
      </c>
      <c r="Y26" s="295">
        <f t="shared" si="8"/>
        <v>0</v>
      </c>
      <c r="Z26" s="254">
        <f>SUM(D26:Y26)</f>
        <v>0</v>
      </c>
    </row>
    <row r="27" spans="2:27" s="225" customFormat="1">
      <c r="C27" s="222"/>
      <c r="D27" s="194"/>
      <c r="E27" s="194"/>
      <c r="F27" s="194"/>
      <c r="G27" s="226"/>
      <c r="H27" s="194"/>
      <c r="I27" s="194"/>
      <c r="J27" s="194"/>
      <c r="K27" s="194"/>
      <c r="L27" s="194"/>
      <c r="M27" s="194"/>
      <c r="N27" s="194"/>
      <c r="O27" s="194"/>
      <c r="Z27" s="231"/>
    </row>
    <row r="28" spans="2:27" s="225" customFormat="1">
      <c r="C28" s="222"/>
      <c r="D28" s="194"/>
      <c r="E28" s="194"/>
      <c r="F28" s="194"/>
      <c r="G28" s="226"/>
      <c r="H28" s="194"/>
      <c r="I28" s="194"/>
      <c r="J28" s="194"/>
      <c r="K28" s="194"/>
      <c r="L28" s="194"/>
      <c r="M28" s="194"/>
      <c r="N28" s="194"/>
      <c r="O28" s="194"/>
      <c r="Z28" s="231"/>
    </row>
    <row r="29" spans="2:27" s="225" customFormat="1">
      <c r="C29" s="222"/>
      <c r="D29" s="194"/>
      <c r="E29" s="194"/>
      <c r="F29" s="194"/>
      <c r="G29" s="226"/>
      <c r="H29" s="194"/>
      <c r="I29" s="194"/>
      <c r="J29" s="194"/>
      <c r="K29" s="194"/>
      <c r="L29" s="194"/>
      <c r="M29" s="194"/>
      <c r="N29" s="194"/>
      <c r="O29" s="194"/>
      <c r="Z29" s="231"/>
    </row>
    <row r="30" spans="2:27" s="225" customFormat="1">
      <c r="C30" s="222"/>
      <c r="D30" s="194"/>
      <c r="E30" s="194"/>
      <c r="F30" s="194"/>
      <c r="G30" s="226"/>
      <c r="H30" s="194"/>
      <c r="I30" s="194"/>
      <c r="J30" s="194"/>
      <c r="K30" s="194"/>
      <c r="L30" s="194"/>
      <c r="M30" s="194"/>
      <c r="N30" s="194"/>
      <c r="O30" s="194"/>
      <c r="Z30" s="231"/>
    </row>
    <row r="31" spans="2:27" s="225" customFormat="1">
      <c r="C31" s="222"/>
      <c r="D31" s="194"/>
      <c r="E31" s="194"/>
      <c r="F31" s="194"/>
      <c r="G31" s="226"/>
      <c r="H31" s="194"/>
      <c r="I31" s="194"/>
      <c r="J31" s="194"/>
      <c r="K31" s="194"/>
      <c r="L31" s="194"/>
      <c r="M31" s="194"/>
      <c r="N31" s="194"/>
      <c r="O31" s="194"/>
      <c r="Z31" s="231"/>
    </row>
    <row r="32" spans="2:27" s="234" customFormat="1">
      <c r="C32" s="171"/>
      <c r="D32" s="235"/>
      <c r="E32" s="235"/>
      <c r="F32" s="235"/>
      <c r="G32" s="236"/>
      <c r="H32" s="190"/>
      <c r="I32" s="190"/>
      <c r="J32" s="190"/>
      <c r="K32" s="190"/>
      <c r="L32" s="190"/>
      <c r="M32" s="190"/>
      <c r="N32" s="190"/>
      <c r="O32" s="190"/>
      <c r="P32" s="237"/>
      <c r="Z32" s="180"/>
    </row>
    <row r="33" spans="3:26" s="234" customFormat="1">
      <c r="C33" s="171"/>
      <c r="D33" s="235"/>
      <c r="E33" s="235"/>
      <c r="F33" s="235"/>
      <c r="G33" s="236"/>
      <c r="H33" s="190"/>
      <c r="I33" s="190"/>
      <c r="J33" s="190"/>
      <c r="K33" s="190"/>
      <c r="L33" s="190"/>
      <c r="M33" s="190"/>
      <c r="N33" s="190"/>
      <c r="O33" s="190"/>
      <c r="P33" s="237"/>
      <c r="Z33" s="180"/>
    </row>
    <row r="34" spans="3:26" s="234" customFormat="1">
      <c r="C34" s="171"/>
      <c r="D34" s="235"/>
      <c r="E34" s="235"/>
      <c r="F34" s="235"/>
      <c r="G34" s="236"/>
      <c r="H34" s="190"/>
      <c r="I34" s="190"/>
      <c r="J34" s="190"/>
      <c r="K34" s="190"/>
      <c r="L34" s="190"/>
      <c r="M34" s="190"/>
      <c r="N34" s="190"/>
      <c r="O34" s="190"/>
      <c r="P34" s="237"/>
      <c r="Z34" s="180"/>
    </row>
    <row r="35" spans="3:26" s="234" customFormat="1">
      <c r="C35" s="171"/>
      <c r="D35" s="235"/>
      <c r="E35" s="235"/>
      <c r="F35" s="235"/>
      <c r="G35" s="236"/>
      <c r="H35" s="190"/>
      <c r="I35" s="190"/>
      <c r="J35" s="190"/>
      <c r="K35" s="190"/>
      <c r="L35" s="190"/>
      <c r="M35" s="190"/>
      <c r="N35" s="190"/>
      <c r="O35" s="190"/>
      <c r="P35" s="237"/>
      <c r="Z35" s="180"/>
    </row>
    <row r="36" spans="3:26" s="234" customFormat="1">
      <c r="C36" s="171"/>
      <c r="D36" s="235"/>
      <c r="E36" s="235"/>
      <c r="F36" s="235"/>
      <c r="G36" s="236"/>
      <c r="H36" s="190"/>
      <c r="I36" s="190"/>
      <c r="J36" s="190"/>
      <c r="K36" s="190"/>
      <c r="L36" s="190"/>
      <c r="M36" s="190"/>
      <c r="N36" s="190"/>
      <c r="O36" s="190"/>
      <c r="P36" s="237"/>
      <c r="Z36" s="180"/>
    </row>
    <row r="37" spans="3:26" s="234" customFormat="1">
      <c r="C37" s="171"/>
      <c r="D37" s="235"/>
      <c r="E37" s="235"/>
      <c r="F37" s="235"/>
      <c r="G37" s="236"/>
      <c r="H37" s="190"/>
      <c r="I37" s="190"/>
      <c r="J37" s="190"/>
      <c r="K37" s="190"/>
      <c r="L37" s="190"/>
      <c r="M37" s="190"/>
      <c r="N37" s="190"/>
      <c r="O37" s="190"/>
      <c r="P37" s="237"/>
      <c r="Z37" s="180"/>
    </row>
    <row r="38" spans="3:26" s="234" customFormat="1">
      <c r="C38" s="171"/>
      <c r="D38" s="235"/>
      <c r="E38" s="235"/>
      <c r="F38" s="235"/>
      <c r="G38" s="236"/>
      <c r="H38" s="190"/>
      <c r="I38" s="190"/>
      <c r="J38" s="190"/>
      <c r="K38" s="190"/>
      <c r="L38" s="190"/>
      <c r="M38" s="190"/>
      <c r="N38" s="190"/>
      <c r="O38" s="190"/>
      <c r="P38" s="237"/>
      <c r="Z38" s="180"/>
    </row>
    <row r="39" spans="3:26" s="234" customFormat="1">
      <c r="C39" s="171"/>
      <c r="D39" s="235"/>
      <c r="E39" s="235"/>
      <c r="F39" s="235"/>
      <c r="G39" s="236"/>
      <c r="H39" s="190"/>
      <c r="I39" s="190"/>
      <c r="J39" s="190"/>
      <c r="K39" s="190"/>
      <c r="L39" s="190"/>
      <c r="M39" s="190"/>
      <c r="N39" s="190"/>
      <c r="O39" s="190"/>
      <c r="P39" s="237"/>
      <c r="Z39" s="180"/>
    </row>
    <row r="40" spans="3:26" s="234" customFormat="1">
      <c r="C40" s="171"/>
      <c r="D40" s="235"/>
      <c r="E40" s="235"/>
      <c r="F40" s="235"/>
      <c r="G40" s="236"/>
      <c r="H40" s="190"/>
      <c r="I40" s="190"/>
      <c r="J40" s="190"/>
      <c r="K40" s="190"/>
      <c r="L40" s="190"/>
      <c r="M40" s="190"/>
      <c r="N40" s="190"/>
      <c r="O40" s="190"/>
      <c r="P40" s="237"/>
      <c r="Z40" s="180"/>
    </row>
    <row r="41" spans="3:26" s="234" customFormat="1">
      <c r="C41" s="193"/>
      <c r="D41" s="235"/>
      <c r="E41" s="235"/>
      <c r="F41" s="235"/>
      <c r="G41" s="236"/>
      <c r="H41" s="190"/>
      <c r="I41" s="190"/>
      <c r="J41" s="190"/>
      <c r="K41" s="190"/>
      <c r="L41" s="190"/>
      <c r="M41" s="190"/>
      <c r="N41" s="190"/>
      <c r="O41" s="190"/>
      <c r="P41" s="237"/>
      <c r="Z41" s="180"/>
    </row>
    <row r="42" spans="3:26" s="234" customFormat="1">
      <c r="C42" s="193"/>
      <c r="D42" s="235"/>
      <c r="E42" s="235"/>
      <c r="F42" s="235"/>
      <c r="G42" s="236"/>
      <c r="H42" s="190"/>
      <c r="I42" s="190"/>
      <c r="J42" s="190"/>
      <c r="K42" s="190"/>
      <c r="L42" s="190"/>
      <c r="M42" s="190"/>
      <c r="N42" s="190"/>
      <c r="O42" s="190"/>
      <c r="P42" s="237"/>
      <c r="Z42" s="180"/>
    </row>
    <row r="43" spans="3:26" s="234" customFormat="1">
      <c r="C43" s="193"/>
      <c r="D43" s="235"/>
      <c r="E43" s="235"/>
      <c r="F43" s="235"/>
      <c r="G43" s="236"/>
      <c r="H43" s="190"/>
      <c r="I43" s="190"/>
      <c r="J43" s="190"/>
      <c r="K43" s="190"/>
      <c r="L43" s="190"/>
      <c r="M43" s="190"/>
      <c r="N43" s="190"/>
      <c r="O43" s="190"/>
      <c r="P43" s="237"/>
      <c r="Z43" s="180"/>
    </row>
    <row r="44" spans="3:26" s="234" customFormat="1">
      <c r="C44" s="193"/>
      <c r="D44" s="235"/>
      <c r="E44" s="235"/>
      <c r="F44" s="235"/>
      <c r="G44" s="236"/>
      <c r="H44" s="190"/>
      <c r="I44" s="190"/>
      <c r="J44" s="190"/>
      <c r="K44" s="190"/>
      <c r="L44" s="190"/>
      <c r="M44" s="190"/>
      <c r="N44" s="190"/>
      <c r="O44" s="190"/>
      <c r="P44" s="237"/>
      <c r="Z44" s="180"/>
    </row>
    <row r="45" spans="3:26" s="234" customFormat="1">
      <c r="C45" s="193"/>
      <c r="D45" s="235"/>
      <c r="E45" s="235"/>
      <c r="F45" s="235"/>
      <c r="G45" s="236"/>
      <c r="H45" s="190"/>
      <c r="I45" s="190"/>
      <c r="J45" s="190"/>
      <c r="K45" s="190"/>
      <c r="L45" s="190"/>
      <c r="M45" s="190"/>
      <c r="N45" s="190"/>
      <c r="O45" s="190"/>
      <c r="P45" s="237"/>
      <c r="Z45" s="180"/>
    </row>
    <row r="46" spans="3:26" s="234" customFormat="1">
      <c r="C46" s="193"/>
      <c r="D46" s="235"/>
      <c r="E46" s="235"/>
      <c r="F46" s="235"/>
      <c r="G46" s="236"/>
      <c r="H46" s="190"/>
      <c r="I46" s="190"/>
      <c r="J46" s="190"/>
      <c r="K46" s="190"/>
      <c r="L46" s="190"/>
      <c r="M46" s="190"/>
      <c r="N46" s="190"/>
      <c r="O46" s="190"/>
      <c r="P46" s="237"/>
      <c r="Z46" s="180"/>
    </row>
    <row r="47" spans="3:26" s="234" customFormat="1">
      <c r="C47" s="193"/>
      <c r="D47" s="235"/>
      <c r="E47" s="235"/>
      <c r="F47" s="235"/>
      <c r="G47" s="236"/>
      <c r="H47" s="190"/>
      <c r="I47" s="190"/>
      <c r="J47" s="190"/>
      <c r="K47" s="190"/>
      <c r="L47" s="190"/>
      <c r="M47" s="190"/>
      <c r="N47" s="190"/>
      <c r="O47" s="190"/>
      <c r="P47" s="237"/>
      <c r="Z47" s="180"/>
    </row>
    <row r="48" spans="3:26" s="234" customFormat="1">
      <c r="C48" s="193"/>
      <c r="D48" s="235"/>
      <c r="E48" s="235"/>
      <c r="F48" s="235"/>
      <c r="G48" s="236"/>
      <c r="H48" s="190"/>
      <c r="I48" s="190"/>
      <c r="J48" s="190"/>
      <c r="K48" s="190"/>
      <c r="L48" s="190"/>
      <c r="M48" s="190"/>
      <c r="N48" s="190"/>
      <c r="O48" s="190"/>
      <c r="P48" s="237"/>
      <c r="Z48" s="180"/>
    </row>
    <row r="49" spans="3:26" s="234" customFormat="1">
      <c r="C49" s="193"/>
      <c r="D49" s="235"/>
      <c r="E49" s="235"/>
      <c r="F49" s="235"/>
      <c r="G49" s="236"/>
      <c r="H49" s="190"/>
      <c r="I49" s="190"/>
      <c r="J49" s="190"/>
      <c r="K49" s="190"/>
      <c r="L49" s="190"/>
      <c r="M49" s="190"/>
      <c r="N49" s="190"/>
      <c r="O49" s="190"/>
      <c r="P49" s="237"/>
      <c r="Z49" s="180"/>
    </row>
    <row r="50" spans="3:26" s="234" customFormat="1">
      <c r="C50" s="193"/>
      <c r="D50" s="235"/>
      <c r="E50" s="235"/>
      <c r="F50" s="235"/>
      <c r="G50" s="236"/>
      <c r="H50" s="190"/>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row r="57" spans="3:26" s="234" customFormat="1">
      <c r="C57" s="193"/>
      <c r="D57" s="235"/>
      <c r="E57" s="235"/>
      <c r="F57" s="235"/>
      <c r="G57" s="236"/>
      <c r="H57" s="190"/>
      <c r="I57" s="190"/>
      <c r="J57" s="190"/>
      <c r="K57" s="190"/>
      <c r="L57" s="190"/>
      <c r="M57" s="190"/>
      <c r="N57" s="190"/>
      <c r="O57" s="190"/>
      <c r="P57" s="237"/>
      <c r="Z57" s="180"/>
    </row>
    <row r="58" spans="3:26" s="234" customFormat="1">
      <c r="C58" s="193"/>
      <c r="D58" s="235"/>
      <c r="E58" s="235"/>
      <c r="F58" s="235"/>
      <c r="G58" s="236"/>
      <c r="H58" s="190"/>
      <c r="I58" s="190"/>
      <c r="J58" s="190"/>
      <c r="K58" s="190"/>
      <c r="L58" s="190"/>
      <c r="M58" s="190"/>
      <c r="N58" s="190"/>
      <c r="O58" s="190"/>
      <c r="P58" s="237"/>
      <c r="Z58" s="180"/>
    </row>
    <row r="59" spans="3:26" s="234" customFormat="1">
      <c r="C59" s="193"/>
      <c r="D59" s="235"/>
      <c r="E59" s="235"/>
      <c r="F59" s="235"/>
      <c r="G59" s="236"/>
      <c r="H59" s="190"/>
      <c r="I59" s="190"/>
      <c r="J59" s="190"/>
      <c r="K59" s="190"/>
      <c r="L59" s="190"/>
      <c r="M59" s="190"/>
      <c r="N59" s="190"/>
      <c r="O59" s="190"/>
      <c r="P59" s="237"/>
      <c r="Z59" s="180"/>
    </row>
    <row r="60" spans="3:26" s="234" customFormat="1">
      <c r="C60" s="193"/>
      <c r="D60" s="235"/>
      <c r="E60" s="235"/>
      <c r="F60" s="235"/>
      <c r="G60" s="236"/>
      <c r="H60" s="190"/>
      <c r="I60" s="190"/>
      <c r="J60" s="190"/>
      <c r="K60" s="190"/>
      <c r="L60" s="190"/>
      <c r="M60" s="190"/>
      <c r="N60" s="190"/>
      <c r="O60" s="190"/>
      <c r="P60" s="237"/>
      <c r="Z60" s="180"/>
    </row>
    <row r="61" spans="3:26" s="234" customFormat="1">
      <c r="C61" s="193"/>
      <c r="D61" s="235"/>
      <c r="E61" s="235"/>
      <c r="F61" s="235"/>
      <c r="G61" s="236"/>
      <c r="H61" s="190"/>
      <c r="I61" s="190"/>
      <c r="J61" s="190"/>
      <c r="K61" s="190"/>
      <c r="L61" s="190"/>
      <c r="M61" s="190"/>
      <c r="N61" s="190"/>
      <c r="O61" s="190"/>
      <c r="P61" s="237"/>
      <c r="Z61" s="180"/>
    </row>
    <row r="62" spans="3:26" s="234" customFormat="1">
      <c r="C62" s="193"/>
      <c r="D62" s="235"/>
      <c r="E62" s="235"/>
      <c r="F62" s="235"/>
      <c r="G62" s="236"/>
      <c r="H62" s="190"/>
      <c r="I62" s="190"/>
      <c r="J62" s="190"/>
      <c r="K62" s="190"/>
      <c r="L62" s="190"/>
      <c r="M62" s="190"/>
      <c r="N62" s="190"/>
      <c r="O62" s="190"/>
      <c r="P62" s="237"/>
      <c r="Z62" s="180"/>
    </row>
    <row r="63" spans="3:26" s="234" customFormat="1">
      <c r="C63" s="193"/>
      <c r="D63" s="235"/>
      <c r="E63" s="235"/>
      <c r="F63" s="235"/>
      <c r="G63" s="236"/>
      <c r="H63" s="190"/>
      <c r="I63" s="190"/>
      <c r="J63" s="190"/>
      <c r="K63" s="190"/>
      <c r="L63" s="190"/>
      <c r="M63" s="190"/>
      <c r="N63" s="190"/>
      <c r="O63" s="190"/>
      <c r="P63" s="237"/>
      <c r="Z63" s="180"/>
    </row>
    <row r="64" spans="3:26" s="234" customFormat="1">
      <c r="C64" s="193"/>
      <c r="D64" s="235"/>
      <c r="E64" s="235"/>
      <c r="F64" s="235"/>
      <c r="G64" s="236"/>
      <c r="H64" s="190"/>
      <c r="I64" s="190"/>
      <c r="J64" s="190"/>
      <c r="K64" s="190"/>
      <c r="L64" s="190"/>
      <c r="M64" s="190"/>
      <c r="N64" s="190"/>
      <c r="O64" s="190"/>
      <c r="P64" s="237"/>
      <c r="Z64" s="180"/>
    </row>
    <row r="65" spans="3:26" s="234" customFormat="1">
      <c r="C65" s="193"/>
      <c r="D65" s="235"/>
      <c r="E65" s="235"/>
      <c r="F65" s="235"/>
      <c r="G65" s="236"/>
      <c r="H65" s="190"/>
      <c r="I65" s="190"/>
      <c r="J65" s="190"/>
      <c r="K65" s="190"/>
      <c r="L65" s="190"/>
      <c r="M65" s="190"/>
      <c r="N65" s="190"/>
      <c r="O65" s="190"/>
      <c r="P65" s="237"/>
      <c r="Z65" s="180"/>
    </row>
    <row r="66" spans="3:26" s="234" customFormat="1">
      <c r="C66" s="193"/>
      <c r="D66" s="235"/>
      <c r="E66" s="235"/>
      <c r="F66" s="235"/>
      <c r="G66" s="236"/>
      <c r="H66" s="190"/>
      <c r="I66" s="190"/>
      <c r="J66" s="190"/>
      <c r="K66" s="190"/>
      <c r="L66" s="190"/>
      <c r="M66" s="190"/>
      <c r="N66" s="190"/>
      <c r="O66" s="190"/>
      <c r="P66" s="237"/>
      <c r="Z66" s="180"/>
    </row>
    <row r="67" spans="3:26" s="234" customFormat="1">
      <c r="C67" s="193"/>
      <c r="D67" s="235"/>
      <c r="E67" s="235"/>
      <c r="F67" s="235"/>
      <c r="G67" s="236"/>
      <c r="H67" s="190"/>
      <c r="I67" s="190"/>
      <c r="J67" s="190"/>
      <c r="K67" s="190"/>
      <c r="L67" s="190"/>
      <c r="M67" s="190"/>
      <c r="N67" s="190"/>
      <c r="O67" s="190"/>
      <c r="P67" s="237"/>
      <c r="Z67" s="180"/>
    </row>
    <row r="68" spans="3:26" s="234" customFormat="1">
      <c r="C68" s="193"/>
      <c r="D68" s="235"/>
      <c r="E68" s="235"/>
      <c r="F68" s="235"/>
      <c r="G68" s="236"/>
      <c r="H68" s="190"/>
      <c r="I68" s="190"/>
      <c r="J68" s="190"/>
      <c r="K68" s="190"/>
      <c r="L68" s="190"/>
      <c r="M68" s="190"/>
      <c r="N68" s="190"/>
      <c r="O68" s="190"/>
      <c r="P68" s="237"/>
      <c r="Z68" s="180"/>
    </row>
    <row r="69" spans="3:26" s="234" customFormat="1">
      <c r="C69" s="193"/>
      <c r="D69" s="235"/>
      <c r="E69" s="235"/>
      <c r="F69" s="235"/>
      <c r="G69" s="236"/>
      <c r="H69" s="190"/>
      <c r="I69" s="190"/>
      <c r="J69" s="190"/>
      <c r="K69" s="190"/>
      <c r="L69" s="190"/>
      <c r="M69" s="190"/>
      <c r="N69" s="190"/>
      <c r="O69" s="190"/>
      <c r="P69" s="237"/>
      <c r="Z69" s="180"/>
    </row>
    <row r="70" spans="3:26" s="234" customFormat="1">
      <c r="C70" s="193"/>
      <c r="D70" s="235"/>
      <c r="E70" s="235"/>
      <c r="F70" s="235"/>
      <c r="G70" s="236"/>
      <c r="H70" s="190"/>
      <c r="I70" s="190"/>
      <c r="J70" s="190"/>
      <c r="K70" s="190"/>
      <c r="L70" s="190"/>
      <c r="M70" s="190"/>
      <c r="N70" s="190"/>
      <c r="O70" s="190"/>
      <c r="P70" s="237"/>
      <c r="Z70" s="180"/>
    </row>
    <row r="71" spans="3:26" s="234" customFormat="1">
      <c r="C71" s="193"/>
      <c r="D71" s="235"/>
      <c r="E71" s="235"/>
      <c r="F71" s="235"/>
      <c r="G71" s="236"/>
      <c r="H71" s="190"/>
      <c r="I71" s="190"/>
      <c r="J71" s="190"/>
      <c r="K71" s="190"/>
      <c r="L71" s="190"/>
      <c r="M71" s="190"/>
      <c r="N71" s="190"/>
      <c r="O71" s="190"/>
      <c r="P71" s="237"/>
      <c r="Z71" s="180"/>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39"/>
  </sheetPr>
  <dimension ref="B1:AA71"/>
  <sheetViews>
    <sheetView showZeros="0" workbookViewId="0">
      <selection activeCell="M21" sqref="M21"/>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58" t="s">
        <v>203</v>
      </c>
    </row>
    <row r="2" spans="2:27">
      <c r="G2" s="179"/>
    </row>
    <row r="3" spans="2:27" s="177" customFormat="1" ht="13.5" thickBot="1">
      <c r="C3" s="215" t="s">
        <v>84</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141</v>
      </c>
      <c r="C4" s="217"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1" si="2">SUM(D4:Y4)</f>
        <v>370</v>
      </c>
      <c r="AA4" s="158" t="str">
        <f t="shared" ref="AA4:AA20" si="3">C4</f>
        <v>Evans</v>
      </c>
    </row>
    <row r="5" spans="2:27">
      <c r="B5" s="216" t="s">
        <v>150</v>
      </c>
      <c r="C5" s="217" t="s">
        <v>75</v>
      </c>
      <c r="D5" s="159">
        <f t="shared" si="0"/>
        <v>0</v>
      </c>
      <c r="E5" s="159">
        <f t="shared" si="0"/>
        <v>0</v>
      </c>
      <c r="F5" s="159">
        <f t="shared" si="0"/>
        <v>39</v>
      </c>
      <c r="G5" s="159">
        <f t="shared" si="0"/>
        <v>3</v>
      </c>
      <c r="H5" s="159">
        <f t="shared" si="0"/>
        <v>2</v>
      </c>
      <c r="I5" s="159">
        <f t="shared" si="0"/>
        <v>24</v>
      </c>
      <c r="J5" s="159">
        <f t="shared" si="0"/>
        <v>2</v>
      </c>
      <c r="K5" s="159">
        <f t="shared" si="0"/>
        <v>2</v>
      </c>
      <c r="L5" s="159">
        <f t="shared" si="0"/>
        <v>2</v>
      </c>
      <c r="M5" s="159">
        <f t="shared" si="0"/>
        <v>2</v>
      </c>
      <c r="N5" s="159">
        <f t="shared" si="1"/>
        <v>2</v>
      </c>
      <c r="O5" s="159">
        <f t="shared" si="1"/>
        <v>2</v>
      </c>
      <c r="P5" s="159">
        <f t="shared" si="1"/>
        <v>2</v>
      </c>
      <c r="Q5" s="159">
        <f t="shared" si="1"/>
        <v>2</v>
      </c>
      <c r="R5" s="159">
        <f t="shared" si="1"/>
        <v>2</v>
      </c>
      <c r="S5" s="159">
        <f t="shared" si="1"/>
        <v>2</v>
      </c>
      <c r="T5" s="159">
        <f t="shared" si="1"/>
        <v>2</v>
      </c>
      <c r="U5" s="159">
        <f t="shared" si="1"/>
        <v>2</v>
      </c>
      <c r="V5" s="159">
        <f t="shared" si="1"/>
        <v>37</v>
      </c>
      <c r="W5" s="159">
        <f t="shared" si="1"/>
        <v>2</v>
      </c>
      <c r="X5" s="159">
        <f t="shared" si="1"/>
        <v>37</v>
      </c>
      <c r="Y5" s="159">
        <f t="shared" si="1"/>
        <v>3</v>
      </c>
      <c r="Z5" s="164">
        <f t="shared" si="2"/>
        <v>171</v>
      </c>
      <c r="AA5" s="158" t="str">
        <f t="shared" si="3"/>
        <v>Cavendish</v>
      </c>
    </row>
    <row r="6" spans="2:27">
      <c r="B6" s="216" t="s">
        <v>158</v>
      </c>
      <c r="C6" s="217" t="s">
        <v>159</v>
      </c>
      <c r="D6" s="159">
        <f t="shared" si="0"/>
        <v>0</v>
      </c>
      <c r="E6" s="159">
        <f t="shared" si="0"/>
        <v>0</v>
      </c>
      <c r="F6" s="159">
        <f t="shared" si="0"/>
        <v>0</v>
      </c>
      <c r="G6" s="159">
        <f t="shared" si="0"/>
        <v>6</v>
      </c>
      <c r="H6" s="159">
        <f t="shared" si="0"/>
        <v>0</v>
      </c>
      <c r="I6" s="159">
        <f t="shared" si="0"/>
        <v>0</v>
      </c>
      <c r="J6" s="159">
        <f t="shared" si="0"/>
        <v>0</v>
      </c>
      <c r="K6" s="159">
        <f t="shared" si="0"/>
        <v>14</v>
      </c>
      <c r="L6" s="159">
        <f t="shared" si="0"/>
        <v>16</v>
      </c>
      <c r="M6" s="159">
        <f t="shared" si="0"/>
        <v>0</v>
      </c>
      <c r="N6" s="159">
        <f t="shared" si="1"/>
        <v>0</v>
      </c>
      <c r="O6" s="159">
        <f t="shared" si="1"/>
        <v>16</v>
      </c>
      <c r="P6" s="159">
        <f t="shared" si="1"/>
        <v>0</v>
      </c>
      <c r="Q6" s="159">
        <f t="shared" si="1"/>
        <v>0</v>
      </c>
      <c r="R6" s="159">
        <f t="shared" si="1"/>
        <v>0</v>
      </c>
      <c r="S6" s="159">
        <f t="shared" si="1"/>
        <v>0</v>
      </c>
      <c r="T6" s="159">
        <f t="shared" si="1"/>
        <v>0</v>
      </c>
      <c r="U6" s="159">
        <f t="shared" si="1"/>
        <v>0</v>
      </c>
      <c r="V6" s="159">
        <f t="shared" si="1"/>
        <v>0</v>
      </c>
      <c r="W6" s="159">
        <f t="shared" si="1"/>
        <v>0</v>
      </c>
      <c r="X6" s="159">
        <f t="shared" si="1"/>
        <v>0</v>
      </c>
      <c r="Y6" s="159">
        <f t="shared" si="1"/>
        <v>0</v>
      </c>
      <c r="Z6" s="164">
        <f t="shared" si="2"/>
        <v>52</v>
      </c>
      <c r="AA6" s="158" t="str">
        <f t="shared" si="3"/>
        <v>Schleck</v>
      </c>
    </row>
    <row r="7" spans="2:27">
      <c r="B7" s="216" t="s">
        <v>180</v>
      </c>
      <c r="C7" s="217" t="s">
        <v>170</v>
      </c>
      <c r="D7" s="159">
        <f t="shared" si="0"/>
        <v>12</v>
      </c>
      <c r="E7" s="159">
        <f t="shared" si="0"/>
        <v>13</v>
      </c>
      <c r="F7" s="159">
        <f t="shared" si="0"/>
        <v>2</v>
      </c>
      <c r="G7" s="159">
        <f t="shared" si="0"/>
        <v>19</v>
      </c>
      <c r="H7" s="159">
        <f t="shared" si="0"/>
        <v>3</v>
      </c>
      <c r="I7" s="159">
        <f t="shared" si="0"/>
        <v>3</v>
      </c>
      <c r="J7" s="159">
        <f t="shared" si="0"/>
        <v>14</v>
      </c>
      <c r="K7" s="159">
        <f t="shared" si="0"/>
        <v>33</v>
      </c>
      <c r="L7" s="159">
        <f t="shared" si="0"/>
        <v>30</v>
      </c>
      <c r="M7" s="159">
        <f t="shared" si="0"/>
        <v>25</v>
      </c>
      <c r="N7" s="159">
        <f t="shared" si="1"/>
        <v>18</v>
      </c>
      <c r="O7" s="159">
        <f t="shared" si="1"/>
        <v>30</v>
      </c>
      <c r="P7" s="159">
        <f t="shared" si="1"/>
        <v>17</v>
      </c>
      <c r="Q7" s="159">
        <f t="shared" si="1"/>
        <v>23</v>
      </c>
      <c r="R7" s="159">
        <f t="shared" si="1"/>
        <v>17</v>
      </c>
      <c r="S7" s="159">
        <f t="shared" si="1"/>
        <v>8</v>
      </c>
      <c r="T7" s="159">
        <f t="shared" si="1"/>
        <v>23</v>
      </c>
      <c r="U7" s="159">
        <f t="shared" si="1"/>
        <v>27</v>
      </c>
      <c r="V7" s="159">
        <f t="shared" si="1"/>
        <v>8</v>
      </c>
      <c r="W7" s="159">
        <f t="shared" si="1"/>
        <v>18</v>
      </c>
      <c r="X7" s="159">
        <f t="shared" si="1"/>
        <v>8</v>
      </c>
      <c r="Y7" s="159">
        <f t="shared" si="1"/>
        <v>52</v>
      </c>
      <c r="Z7" s="164">
        <f t="shared" si="2"/>
        <v>403</v>
      </c>
      <c r="AA7" s="158" t="str">
        <f t="shared" si="3"/>
        <v>Nibali</v>
      </c>
    </row>
    <row r="8" spans="2:27">
      <c r="B8" s="216" t="s">
        <v>204</v>
      </c>
      <c r="C8" s="217" t="s">
        <v>68</v>
      </c>
      <c r="D8" s="159">
        <f t="shared" si="0"/>
        <v>0</v>
      </c>
      <c r="E8" s="159">
        <f t="shared" si="0"/>
        <v>0</v>
      </c>
      <c r="F8" s="159">
        <f t="shared" si="0"/>
        <v>0</v>
      </c>
      <c r="G8" s="159">
        <f t="shared" si="0"/>
        <v>18</v>
      </c>
      <c r="H8" s="159">
        <f t="shared" si="0"/>
        <v>0</v>
      </c>
      <c r="I8" s="159">
        <f t="shared" si="0"/>
        <v>9</v>
      </c>
      <c r="J8" s="159">
        <f t="shared" si="0"/>
        <v>7</v>
      </c>
      <c r="K8" s="159">
        <f t="shared" si="0"/>
        <v>10</v>
      </c>
      <c r="L8" s="159">
        <f t="shared" si="0"/>
        <v>0</v>
      </c>
      <c r="M8" s="159">
        <f t="shared" si="0"/>
        <v>0</v>
      </c>
      <c r="N8" s="159">
        <f t="shared" si="1"/>
        <v>0</v>
      </c>
      <c r="O8" s="159">
        <f t="shared" si="1"/>
        <v>0</v>
      </c>
      <c r="P8" s="159">
        <f t="shared" si="1"/>
        <v>0</v>
      </c>
      <c r="Q8" s="159">
        <f t="shared" si="1"/>
        <v>0</v>
      </c>
      <c r="R8" s="159">
        <f t="shared" si="1"/>
        <v>0</v>
      </c>
      <c r="S8" s="159">
        <f t="shared" si="1"/>
        <v>0</v>
      </c>
      <c r="T8" s="159">
        <f t="shared" si="1"/>
        <v>0</v>
      </c>
      <c r="U8" s="159">
        <f t="shared" si="1"/>
        <v>0</v>
      </c>
      <c r="V8" s="159">
        <f t="shared" si="1"/>
        <v>0</v>
      </c>
      <c r="W8" s="159">
        <f t="shared" si="1"/>
        <v>0</v>
      </c>
      <c r="X8" s="159">
        <f t="shared" si="1"/>
        <v>0</v>
      </c>
      <c r="Y8" s="159">
        <f t="shared" si="1"/>
        <v>0</v>
      </c>
      <c r="Z8" s="164">
        <f t="shared" si="2"/>
        <v>44</v>
      </c>
      <c r="AA8" s="158" t="str">
        <f t="shared" si="3"/>
        <v>Sanchez</v>
      </c>
    </row>
    <row r="9" spans="2:27">
      <c r="B9" s="216" t="s">
        <v>129</v>
      </c>
      <c r="C9" s="217" t="s">
        <v>130</v>
      </c>
      <c r="D9" s="159">
        <f t="shared" si="0"/>
        <v>0</v>
      </c>
      <c r="E9" s="159">
        <f t="shared" si="0"/>
        <v>43</v>
      </c>
      <c r="F9" s="159">
        <f t="shared" si="0"/>
        <v>27</v>
      </c>
      <c r="G9" s="159">
        <f t="shared" si="0"/>
        <v>43</v>
      </c>
      <c r="H9" s="159">
        <f t="shared" si="0"/>
        <v>30</v>
      </c>
      <c r="I9" s="159">
        <f t="shared" si="0"/>
        <v>8</v>
      </c>
      <c r="J9" s="159">
        <f t="shared" si="0"/>
        <v>46</v>
      </c>
      <c r="K9" s="159">
        <f t="shared" si="0"/>
        <v>5</v>
      </c>
      <c r="L9" s="159">
        <f t="shared" si="0"/>
        <v>5</v>
      </c>
      <c r="M9" s="159">
        <f t="shared" si="0"/>
        <v>5</v>
      </c>
      <c r="N9" s="159">
        <f t="shared" si="1"/>
        <v>5</v>
      </c>
      <c r="O9" s="159">
        <f t="shared" si="1"/>
        <v>5</v>
      </c>
      <c r="P9" s="159">
        <f t="shared" si="1"/>
        <v>25</v>
      </c>
      <c r="Q9" s="159">
        <f t="shared" si="1"/>
        <v>35</v>
      </c>
      <c r="R9" s="159">
        <f t="shared" si="1"/>
        <v>35</v>
      </c>
      <c r="S9" s="159">
        <f t="shared" si="1"/>
        <v>22</v>
      </c>
      <c r="T9" s="159">
        <f t="shared" si="1"/>
        <v>5</v>
      </c>
      <c r="U9" s="159">
        <f t="shared" si="1"/>
        <v>5</v>
      </c>
      <c r="V9" s="159">
        <f t="shared" si="1"/>
        <v>31</v>
      </c>
      <c r="W9" s="159">
        <f t="shared" si="1"/>
        <v>5</v>
      </c>
      <c r="X9" s="159">
        <f t="shared" si="1"/>
        <v>35</v>
      </c>
      <c r="Y9" s="159">
        <f t="shared" si="1"/>
        <v>10</v>
      </c>
      <c r="Z9" s="164">
        <f t="shared" si="2"/>
        <v>430</v>
      </c>
      <c r="AA9" s="158" t="str">
        <f t="shared" si="3"/>
        <v>Sagan</v>
      </c>
    </row>
    <row r="10" spans="2:27">
      <c r="B10" s="216" t="s">
        <v>71</v>
      </c>
      <c r="C10" s="217" t="s">
        <v>72</v>
      </c>
      <c r="D10" s="159">
        <f t="shared" si="0"/>
        <v>43</v>
      </c>
      <c r="E10" s="159">
        <f t="shared" si="0"/>
        <v>19</v>
      </c>
      <c r="F10" s="159">
        <f t="shared" si="0"/>
        <v>9</v>
      </c>
      <c r="G10" s="159">
        <f t="shared" si="0"/>
        <v>9</v>
      </c>
      <c r="H10" s="159">
        <f t="shared" si="0"/>
        <v>9</v>
      </c>
      <c r="I10" s="159">
        <f t="shared" si="0"/>
        <v>17</v>
      </c>
      <c r="J10" s="159">
        <f t="shared" si="0"/>
        <v>9</v>
      </c>
      <c r="K10" s="159">
        <f t="shared" si="0"/>
        <v>39</v>
      </c>
      <c r="L10" s="159">
        <f t="shared" si="0"/>
        <v>35</v>
      </c>
      <c r="M10" s="159">
        <f t="shared" si="0"/>
        <v>46</v>
      </c>
      <c r="N10" s="159">
        <f t="shared" si="1"/>
        <v>23</v>
      </c>
      <c r="O10" s="159">
        <f t="shared" si="1"/>
        <v>30</v>
      </c>
      <c r="P10" s="159">
        <f t="shared" si="1"/>
        <v>24</v>
      </c>
      <c r="Q10" s="159">
        <f t="shared" si="1"/>
        <v>24</v>
      </c>
      <c r="R10" s="159">
        <f t="shared" si="1"/>
        <v>21</v>
      </c>
      <c r="S10" s="159">
        <f t="shared" si="1"/>
        <v>10</v>
      </c>
      <c r="T10" s="159">
        <f t="shared" si="1"/>
        <v>24</v>
      </c>
      <c r="U10" s="159">
        <f t="shared" si="1"/>
        <v>36</v>
      </c>
      <c r="V10" s="159">
        <f t="shared" si="1"/>
        <v>17</v>
      </c>
      <c r="W10" s="159">
        <f t="shared" si="1"/>
        <v>45</v>
      </c>
      <c r="X10" s="159">
        <f t="shared" si="1"/>
        <v>10</v>
      </c>
      <c r="Y10" s="159">
        <f t="shared" si="1"/>
        <v>70</v>
      </c>
      <c r="Z10" s="164">
        <f t="shared" si="2"/>
        <v>569</v>
      </c>
      <c r="AA10" s="158" t="str">
        <f t="shared" si="3"/>
        <v>Wiggins</v>
      </c>
    </row>
    <row r="11" spans="2:27">
      <c r="B11" s="216" t="s">
        <v>131</v>
      </c>
      <c r="C11" s="217" t="s">
        <v>132</v>
      </c>
      <c r="D11" s="159">
        <f t="shared" si="0"/>
        <v>0</v>
      </c>
      <c r="E11" s="159">
        <f t="shared" si="0"/>
        <v>0</v>
      </c>
      <c r="F11" s="159">
        <f t="shared" si="0"/>
        <v>0</v>
      </c>
      <c r="G11" s="159">
        <f t="shared" si="0"/>
        <v>0</v>
      </c>
      <c r="H11" s="159">
        <f t="shared" si="0"/>
        <v>0</v>
      </c>
      <c r="I11" s="159">
        <f t="shared" si="0"/>
        <v>0</v>
      </c>
      <c r="J11" s="159">
        <f t="shared" si="0"/>
        <v>0</v>
      </c>
      <c r="K11" s="159">
        <f t="shared" si="0"/>
        <v>0</v>
      </c>
      <c r="L11" s="159">
        <f t="shared" si="0"/>
        <v>0</v>
      </c>
      <c r="M11" s="159">
        <f t="shared" si="0"/>
        <v>0</v>
      </c>
      <c r="N11" s="159">
        <f t="shared" si="1"/>
        <v>0</v>
      </c>
      <c r="O11" s="159">
        <f t="shared" si="1"/>
        <v>0</v>
      </c>
      <c r="P11" s="159">
        <f t="shared" si="1"/>
        <v>0</v>
      </c>
      <c r="Q11" s="159">
        <f t="shared" si="1"/>
        <v>0</v>
      </c>
      <c r="R11" s="159">
        <f t="shared" si="1"/>
        <v>0</v>
      </c>
      <c r="S11" s="159">
        <f t="shared" si="1"/>
        <v>0</v>
      </c>
      <c r="T11" s="159">
        <f t="shared" si="1"/>
        <v>0</v>
      </c>
      <c r="U11" s="159">
        <f t="shared" si="1"/>
        <v>0</v>
      </c>
      <c r="V11" s="159">
        <f t="shared" si="1"/>
        <v>0</v>
      </c>
      <c r="W11" s="159">
        <f t="shared" si="1"/>
        <v>0</v>
      </c>
      <c r="X11" s="159">
        <f t="shared" si="1"/>
        <v>0</v>
      </c>
      <c r="Y11" s="159">
        <f t="shared" si="1"/>
        <v>0</v>
      </c>
      <c r="Z11" s="164">
        <f t="shared" si="2"/>
        <v>0</v>
      </c>
      <c r="AA11" s="158" t="str">
        <f t="shared" si="3"/>
        <v>Kittel</v>
      </c>
    </row>
    <row r="12" spans="2:27">
      <c r="B12" s="216" t="s">
        <v>171</v>
      </c>
      <c r="C12" s="217" t="s">
        <v>99</v>
      </c>
      <c r="D12" s="159">
        <f t="shared" si="0"/>
        <v>0</v>
      </c>
      <c r="E12" s="159">
        <f t="shared" si="0"/>
        <v>0</v>
      </c>
      <c r="F12" s="159">
        <f t="shared" si="0"/>
        <v>30</v>
      </c>
      <c r="G12" s="159">
        <f t="shared" si="0"/>
        <v>0</v>
      </c>
      <c r="H12" s="159">
        <f t="shared" si="0"/>
        <v>38</v>
      </c>
      <c r="I12" s="159">
        <f t="shared" si="0"/>
        <v>38</v>
      </c>
      <c r="J12" s="159">
        <f t="shared" si="0"/>
        <v>33</v>
      </c>
      <c r="K12" s="159">
        <f t="shared" si="0"/>
        <v>3</v>
      </c>
      <c r="L12" s="159">
        <f t="shared" si="0"/>
        <v>3</v>
      </c>
      <c r="M12" s="159">
        <f t="shared" si="0"/>
        <v>3</v>
      </c>
      <c r="N12" s="159">
        <f t="shared" si="1"/>
        <v>3</v>
      </c>
      <c r="O12" s="159">
        <f t="shared" si="1"/>
        <v>3</v>
      </c>
      <c r="P12" s="159">
        <f t="shared" si="1"/>
        <v>3</v>
      </c>
      <c r="Q12" s="159">
        <f t="shared" si="1"/>
        <v>39</v>
      </c>
      <c r="R12" s="159">
        <f t="shared" si="1"/>
        <v>4</v>
      </c>
      <c r="S12" s="159">
        <f t="shared" si="1"/>
        <v>23</v>
      </c>
      <c r="T12" s="159">
        <f t="shared" si="1"/>
        <v>4</v>
      </c>
      <c r="U12" s="159">
        <f t="shared" si="1"/>
        <v>4</v>
      </c>
      <c r="V12" s="159">
        <f t="shared" si="1"/>
        <v>19</v>
      </c>
      <c r="W12" s="159">
        <f t="shared" si="1"/>
        <v>4</v>
      </c>
      <c r="X12" s="159">
        <f t="shared" si="1"/>
        <v>22</v>
      </c>
      <c r="Y12" s="159">
        <f t="shared" si="1"/>
        <v>7</v>
      </c>
      <c r="Z12" s="164">
        <f t="shared" si="2"/>
        <v>283</v>
      </c>
      <c r="AA12" s="158" t="str">
        <f t="shared" si="3"/>
        <v>Greipel</v>
      </c>
    </row>
    <row r="13" spans="2:27">
      <c r="B13" s="216" t="s">
        <v>134</v>
      </c>
      <c r="C13" s="217" t="s">
        <v>87</v>
      </c>
      <c r="D13" s="159">
        <f t="shared" si="0"/>
        <v>0</v>
      </c>
      <c r="E13" s="159">
        <f t="shared" si="0"/>
        <v>0</v>
      </c>
      <c r="F13" s="159">
        <f t="shared" si="0"/>
        <v>15</v>
      </c>
      <c r="G13" s="159">
        <f t="shared" si="0"/>
        <v>0</v>
      </c>
      <c r="H13" s="159">
        <f t="shared" si="0"/>
        <v>0</v>
      </c>
      <c r="I13" s="159">
        <f t="shared" si="0"/>
        <v>0</v>
      </c>
      <c r="J13" s="159">
        <f t="shared" si="0"/>
        <v>0</v>
      </c>
      <c r="K13" s="159">
        <f t="shared" si="0"/>
        <v>0</v>
      </c>
      <c r="L13" s="159">
        <f t="shared" si="0"/>
        <v>0</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0</v>
      </c>
      <c r="X13" s="159">
        <f t="shared" si="1"/>
        <v>0</v>
      </c>
      <c r="Y13" s="159">
        <f t="shared" si="1"/>
        <v>0</v>
      </c>
      <c r="Z13" s="164">
        <f t="shared" si="2"/>
        <v>15</v>
      </c>
      <c r="AA13" s="158" t="str">
        <f t="shared" si="3"/>
        <v>Rojas</v>
      </c>
    </row>
    <row r="14" spans="2:27">
      <c r="B14" s="216" t="s">
        <v>205</v>
      </c>
      <c r="C14" s="217" t="s">
        <v>85</v>
      </c>
      <c r="D14" s="159">
        <f t="shared" ref="D14:M20" si="4">INDEX(scorematrix,MATCH($C14,renners,0),MATCH(D$3,etappes,0))</f>
        <v>29</v>
      </c>
      <c r="E14" s="159">
        <f t="shared" si="4"/>
        <v>35</v>
      </c>
      <c r="F14" s="159">
        <f t="shared" si="4"/>
        <v>14</v>
      </c>
      <c r="G14" s="159">
        <f t="shared" si="4"/>
        <v>38</v>
      </c>
      <c r="H14" s="159">
        <f t="shared" si="4"/>
        <v>24</v>
      </c>
      <c r="I14" s="159">
        <f t="shared" si="4"/>
        <v>6</v>
      </c>
      <c r="J14" s="159">
        <f t="shared" si="4"/>
        <v>0</v>
      </c>
      <c r="K14" s="159">
        <f t="shared" si="4"/>
        <v>0</v>
      </c>
      <c r="L14" s="159">
        <f t="shared" si="4"/>
        <v>0</v>
      </c>
      <c r="M14" s="159">
        <f t="shared" si="4"/>
        <v>0</v>
      </c>
      <c r="N14" s="159">
        <f t="shared" ref="N14:Y20" si="5">INDEX(scorematrix,MATCH($C14,renners,0),MATCH(N$3,etappes,0))</f>
        <v>0</v>
      </c>
      <c r="O14" s="159">
        <f t="shared" si="5"/>
        <v>0</v>
      </c>
      <c r="P14" s="159">
        <f t="shared" si="5"/>
        <v>0</v>
      </c>
      <c r="Q14" s="159">
        <f t="shared" si="5"/>
        <v>27</v>
      </c>
      <c r="R14" s="159">
        <f t="shared" si="5"/>
        <v>1</v>
      </c>
      <c r="S14" s="159">
        <f t="shared" si="5"/>
        <v>1</v>
      </c>
      <c r="T14" s="159">
        <f t="shared" si="5"/>
        <v>1</v>
      </c>
      <c r="U14" s="159">
        <f t="shared" si="5"/>
        <v>1</v>
      </c>
      <c r="V14" s="159">
        <f t="shared" si="5"/>
        <v>14</v>
      </c>
      <c r="W14" s="159">
        <f t="shared" si="5"/>
        <v>1</v>
      </c>
      <c r="X14" s="159">
        <f t="shared" si="5"/>
        <v>18</v>
      </c>
      <c r="Y14" s="159">
        <f t="shared" si="5"/>
        <v>1</v>
      </c>
      <c r="Z14" s="164">
        <f t="shared" si="2"/>
        <v>211</v>
      </c>
      <c r="AA14" s="158" t="str">
        <f t="shared" si="3"/>
        <v>Boasson Hagen</v>
      </c>
    </row>
    <row r="15" spans="2:27">
      <c r="B15" s="216" t="s">
        <v>206</v>
      </c>
      <c r="C15" s="217" t="s">
        <v>207</v>
      </c>
      <c r="D15" s="159">
        <f t="shared" si="4"/>
        <v>0</v>
      </c>
      <c r="E15" s="159">
        <f t="shared" si="4"/>
        <v>7</v>
      </c>
      <c r="F15" s="159">
        <f t="shared" si="4"/>
        <v>0</v>
      </c>
      <c r="G15" s="159">
        <f t="shared" si="4"/>
        <v>0</v>
      </c>
      <c r="H15" s="159">
        <f t="shared" si="4"/>
        <v>0</v>
      </c>
      <c r="I15" s="159">
        <f t="shared" si="4"/>
        <v>0</v>
      </c>
      <c r="J15" s="159">
        <f t="shared" si="4"/>
        <v>0</v>
      </c>
      <c r="K15" s="159">
        <f t="shared" si="4"/>
        <v>19</v>
      </c>
      <c r="L15" s="159">
        <f t="shared" si="4"/>
        <v>10</v>
      </c>
      <c r="M15" s="159">
        <f t="shared" si="4"/>
        <v>0</v>
      </c>
      <c r="N15" s="159">
        <f t="shared" si="5"/>
        <v>18</v>
      </c>
      <c r="O15" s="159">
        <f t="shared" si="5"/>
        <v>41</v>
      </c>
      <c r="P15" s="159">
        <f t="shared" si="5"/>
        <v>6</v>
      </c>
      <c r="Q15" s="159">
        <f t="shared" si="5"/>
        <v>6</v>
      </c>
      <c r="R15" s="159">
        <f t="shared" si="5"/>
        <v>6</v>
      </c>
      <c r="S15" s="159">
        <f t="shared" si="5"/>
        <v>6</v>
      </c>
      <c r="T15" s="159">
        <f t="shared" si="5"/>
        <v>4</v>
      </c>
      <c r="U15" s="159">
        <f t="shared" si="5"/>
        <v>27</v>
      </c>
      <c r="V15" s="159">
        <f t="shared" si="5"/>
        <v>5</v>
      </c>
      <c r="W15" s="159">
        <f t="shared" si="5"/>
        <v>5</v>
      </c>
      <c r="X15" s="159">
        <f t="shared" si="5"/>
        <v>5</v>
      </c>
      <c r="Y15" s="159">
        <f t="shared" si="5"/>
        <v>39</v>
      </c>
      <c r="Z15" s="164">
        <f t="shared" si="2"/>
        <v>204</v>
      </c>
      <c r="AA15" s="158" t="str">
        <f t="shared" si="3"/>
        <v>Rolland</v>
      </c>
    </row>
    <row r="16" spans="2:27">
      <c r="B16" s="216" t="s">
        <v>153</v>
      </c>
      <c r="C16" s="217" t="s">
        <v>100</v>
      </c>
      <c r="D16" s="159">
        <f t="shared" si="4"/>
        <v>0</v>
      </c>
      <c r="E16" s="159">
        <f t="shared" si="4"/>
        <v>0</v>
      </c>
      <c r="F16" s="159">
        <f t="shared" si="4"/>
        <v>28</v>
      </c>
      <c r="G16" s="159">
        <f t="shared" si="4"/>
        <v>1</v>
      </c>
      <c r="H16" s="159">
        <f t="shared" si="4"/>
        <v>28</v>
      </c>
      <c r="I16" s="159">
        <f t="shared" si="4"/>
        <v>34</v>
      </c>
      <c r="J16" s="159">
        <f t="shared" si="4"/>
        <v>30</v>
      </c>
      <c r="K16" s="159">
        <f t="shared" si="4"/>
        <v>4</v>
      </c>
      <c r="L16" s="159">
        <f t="shared" si="4"/>
        <v>4</v>
      </c>
      <c r="M16" s="159">
        <f t="shared" si="4"/>
        <v>4</v>
      </c>
      <c r="N16" s="159">
        <f t="shared" si="5"/>
        <v>4</v>
      </c>
      <c r="O16" s="159">
        <f t="shared" si="5"/>
        <v>4</v>
      </c>
      <c r="P16" s="159">
        <f t="shared" si="5"/>
        <v>23</v>
      </c>
      <c r="Q16" s="159">
        <f t="shared" si="5"/>
        <v>3</v>
      </c>
      <c r="R16" s="159">
        <f t="shared" si="5"/>
        <v>3</v>
      </c>
      <c r="S16" s="159">
        <f t="shared" si="5"/>
        <v>3</v>
      </c>
      <c r="T16" s="159">
        <f t="shared" si="5"/>
        <v>3</v>
      </c>
      <c r="U16" s="159">
        <f t="shared" si="5"/>
        <v>3</v>
      </c>
      <c r="V16" s="159">
        <f t="shared" si="5"/>
        <v>33</v>
      </c>
      <c r="W16" s="159">
        <f t="shared" si="5"/>
        <v>3</v>
      </c>
      <c r="X16" s="159">
        <f t="shared" si="5"/>
        <v>29</v>
      </c>
      <c r="Y16" s="159">
        <f t="shared" si="5"/>
        <v>5</v>
      </c>
      <c r="Z16" s="164">
        <f t="shared" si="2"/>
        <v>249</v>
      </c>
      <c r="AA16" s="158" t="str">
        <f t="shared" si="3"/>
        <v>Goss</v>
      </c>
    </row>
    <row r="17" spans="2:27">
      <c r="B17" s="216" t="s">
        <v>133</v>
      </c>
      <c r="C17" s="217" t="s">
        <v>76</v>
      </c>
      <c r="D17" s="159">
        <f t="shared" si="4"/>
        <v>0</v>
      </c>
      <c r="E17" s="159">
        <f t="shared" si="4"/>
        <v>0</v>
      </c>
      <c r="F17" s="159">
        <f t="shared" si="4"/>
        <v>16</v>
      </c>
      <c r="G17" s="159">
        <f t="shared" si="4"/>
        <v>0</v>
      </c>
      <c r="H17" s="159">
        <f t="shared" si="4"/>
        <v>0</v>
      </c>
      <c r="I17" s="159">
        <f t="shared" si="4"/>
        <v>0</v>
      </c>
      <c r="J17" s="159">
        <f t="shared" si="4"/>
        <v>0</v>
      </c>
      <c r="K17" s="159">
        <f t="shared" si="4"/>
        <v>0</v>
      </c>
      <c r="L17" s="159">
        <f t="shared" si="4"/>
        <v>0</v>
      </c>
      <c r="M17" s="159">
        <f t="shared" si="4"/>
        <v>0</v>
      </c>
      <c r="N17" s="159">
        <f t="shared" si="5"/>
        <v>0</v>
      </c>
      <c r="O17" s="159">
        <f t="shared" si="5"/>
        <v>0</v>
      </c>
      <c r="P17" s="159">
        <f t="shared" si="5"/>
        <v>0</v>
      </c>
      <c r="Q17" s="159">
        <f t="shared" si="5"/>
        <v>0</v>
      </c>
      <c r="R17" s="159">
        <f t="shared" si="5"/>
        <v>0</v>
      </c>
      <c r="S17" s="159">
        <f t="shared" si="5"/>
        <v>18</v>
      </c>
      <c r="T17" s="159">
        <f t="shared" si="5"/>
        <v>0</v>
      </c>
      <c r="U17" s="159">
        <f t="shared" si="5"/>
        <v>0</v>
      </c>
      <c r="V17" s="159">
        <f t="shared" si="5"/>
        <v>20</v>
      </c>
      <c r="W17" s="159">
        <f t="shared" si="5"/>
        <v>0</v>
      </c>
      <c r="X17" s="159">
        <f t="shared" si="5"/>
        <v>15</v>
      </c>
      <c r="Y17" s="159">
        <f t="shared" si="5"/>
        <v>0</v>
      </c>
      <c r="Z17" s="164">
        <f t="shared" si="2"/>
        <v>69</v>
      </c>
      <c r="AA17" s="158" t="str">
        <f t="shared" si="3"/>
        <v>Farrar</v>
      </c>
    </row>
    <row r="18" spans="2:27" s="218" customFormat="1">
      <c r="B18" s="216" t="s">
        <v>136</v>
      </c>
      <c r="C18" s="217" t="s">
        <v>137</v>
      </c>
      <c r="D18" s="159">
        <f t="shared" si="4"/>
        <v>21</v>
      </c>
      <c r="E18" s="159">
        <f t="shared" si="4"/>
        <v>5</v>
      </c>
      <c r="F18" s="159">
        <f t="shared" si="4"/>
        <v>5</v>
      </c>
      <c r="G18" s="159">
        <f t="shared" si="4"/>
        <v>5</v>
      </c>
      <c r="H18" s="159">
        <f t="shared" si="4"/>
        <v>5</v>
      </c>
      <c r="I18" s="159">
        <f t="shared" si="4"/>
        <v>5</v>
      </c>
      <c r="J18" s="159">
        <f t="shared" si="4"/>
        <v>6</v>
      </c>
      <c r="K18" s="159">
        <f t="shared" si="4"/>
        <v>23</v>
      </c>
      <c r="L18" s="159">
        <f t="shared" si="4"/>
        <v>25</v>
      </c>
      <c r="M18" s="159">
        <f t="shared" si="4"/>
        <v>23</v>
      </c>
      <c r="N18" s="159">
        <f t="shared" si="5"/>
        <v>16</v>
      </c>
      <c r="O18" s="159">
        <f t="shared" si="5"/>
        <v>0</v>
      </c>
      <c r="P18" s="159">
        <f t="shared" si="5"/>
        <v>0</v>
      </c>
      <c r="Q18" s="159">
        <f t="shared" si="5"/>
        <v>0</v>
      </c>
      <c r="R18" s="159">
        <f t="shared" si="5"/>
        <v>0</v>
      </c>
      <c r="S18" s="159">
        <f t="shared" si="5"/>
        <v>0</v>
      </c>
      <c r="T18" s="159">
        <f t="shared" si="5"/>
        <v>0</v>
      </c>
      <c r="U18" s="159">
        <f t="shared" si="5"/>
        <v>11</v>
      </c>
      <c r="V18" s="159">
        <f t="shared" si="5"/>
        <v>0</v>
      </c>
      <c r="W18" s="159">
        <f t="shared" si="5"/>
        <v>0</v>
      </c>
      <c r="X18" s="159">
        <f t="shared" si="5"/>
        <v>0</v>
      </c>
      <c r="Y18" s="159">
        <f t="shared" si="5"/>
        <v>22</v>
      </c>
      <c r="Z18" s="164">
        <f t="shared" si="2"/>
        <v>172</v>
      </c>
      <c r="AA18" s="158" t="str">
        <f t="shared" si="3"/>
        <v>Menchov</v>
      </c>
    </row>
    <row r="19" spans="2:27">
      <c r="B19" s="216" t="s">
        <v>152</v>
      </c>
      <c r="C19" s="217" t="s">
        <v>98</v>
      </c>
      <c r="D19" s="159">
        <f t="shared" si="4"/>
        <v>19</v>
      </c>
      <c r="E19" s="159">
        <f t="shared" si="4"/>
        <v>30</v>
      </c>
      <c r="F19" s="159">
        <f t="shared" si="4"/>
        <v>4</v>
      </c>
      <c r="G19" s="159">
        <f t="shared" si="4"/>
        <v>0</v>
      </c>
      <c r="H19" s="159">
        <f t="shared" si="4"/>
        <v>0</v>
      </c>
      <c r="I19" s="159">
        <f t="shared" si="4"/>
        <v>0</v>
      </c>
      <c r="J19" s="159">
        <f t="shared" si="4"/>
        <v>0</v>
      </c>
      <c r="K19" s="159">
        <f t="shared" si="4"/>
        <v>0</v>
      </c>
      <c r="L19" s="159">
        <f t="shared" si="4"/>
        <v>0</v>
      </c>
      <c r="M19" s="159">
        <f t="shared" si="4"/>
        <v>0</v>
      </c>
      <c r="N19" s="159">
        <f t="shared" si="5"/>
        <v>0</v>
      </c>
      <c r="O19" s="159">
        <f t="shared" si="5"/>
        <v>0</v>
      </c>
      <c r="P19" s="159">
        <f t="shared" si="5"/>
        <v>0</v>
      </c>
      <c r="Q19" s="159">
        <f t="shared" si="5"/>
        <v>18</v>
      </c>
      <c r="R19" s="159">
        <f t="shared" si="5"/>
        <v>24</v>
      </c>
      <c r="S19" s="159">
        <f t="shared" si="5"/>
        <v>0</v>
      </c>
      <c r="T19" s="159">
        <f t="shared" si="5"/>
        <v>0</v>
      </c>
      <c r="U19" s="159">
        <f t="shared" si="5"/>
        <v>0</v>
      </c>
      <c r="V19" s="159">
        <f t="shared" si="5"/>
        <v>0</v>
      </c>
      <c r="W19" s="159">
        <f t="shared" si="5"/>
        <v>0</v>
      </c>
      <c r="X19" s="159">
        <f t="shared" si="5"/>
        <v>0</v>
      </c>
      <c r="Y19" s="159">
        <f t="shared" si="5"/>
        <v>0</v>
      </c>
      <c r="Z19" s="164">
        <f t="shared" si="2"/>
        <v>95</v>
      </c>
      <c r="AA19" s="158" t="str">
        <f t="shared" si="3"/>
        <v>Gilbert</v>
      </c>
    </row>
    <row r="20" spans="2:27">
      <c r="B20" s="216" t="s">
        <v>160</v>
      </c>
      <c r="C20" s="217" t="s">
        <v>161</v>
      </c>
      <c r="D20" s="159">
        <f t="shared" si="4"/>
        <v>0</v>
      </c>
      <c r="E20" s="159">
        <f t="shared" si="4"/>
        <v>15</v>
      </c>
      <c r="F20" s="159">
        <f t="shared" si="4"/>
        <v>0</v>
      </c>
      <c r="G20" s="159">
        <f t="shared" si="4"/>
        <v>0</v>
      </c>
      <c r="H20" s="159">
        <f t="shared" si="4"/>
        <v>0</v>
      </c>
      <c r="I20" s="159">
        <f t="shared" si="4"/>
        <v>0</v>
      </c>
      <c r="J20" s="159">
        <f t="shared" si="4"/>
        <v>0</v>
      </c>
      <c r="K20" s="159">
        <f t="shared" si="4"/>
        <v>0</v>
      </c>
      <c r="L20" s="159">
        <f t="shared" si="4"/>
        <v>23</v>
      </c>
      <c r="M20" s="159">
        <f t="shared" si="4"/>
        <v>2</v>
      </c>
      <c r="N20" s="159">
        <f t="shared" si="5"/>
        <v>20</v>
      </c>
      <c r="O20" s="159">
        <f t="shared" si="5"/>
        <v>30</v>
      </c>
      <c r="P20" s="159">
        <f t="shared" si="5"/>
        <v>14</v>
      </c>
      <c r="Q20" s="159">
        <f t="shared" si="5"/>
        <v>15</v>
      </c>
      <c r="R20" s="159">
        <f t="shared" si="5"/>
        <v>6</v>
      </c>
      <c r="S20" s="159">
        <f t="shared" si="5"/>
        <v>6</v>
      </c>
      <c r="T20" s="159">
        <f t="shared" si="5"/>
        <v>17</v>
      </c>
      <c r="U20" s="159">
        <f t="shared" si="5"/>
        <v>27</v>
      </c>
      <c r="V20" s="159">
        <f t="shared" si="5"/>
        <v>7</v>
      </c>
      <c r="W20" s="159">
        <f t="shared" si="5"/>
        <v>7</v>
      </c>
      <c r="X20" s="159">
        <f t="shared" si="5"/>
        <v>7</v>
      </c>
      <c r="Y20" s="159">
        <f t="shared" si="5"/>
        <v>48</v>
      </c>
      <c r="Z20" s="164">
        <f t="shared" si="2"/>
        <v>244</v>
      </c>
      <c r="AA20" s="158" t="str">
        <f t="shared" si="3"/>
        <v>Van den Broeck</v>
      </c>
    </row>
    <row r="21" spans="2:27" s="219" customFormat="1">
      <c r="C21" s="238"/>
      <c r="D21" s="221"/>
      <c r="E21" s="221"/>
      <c r="F21" s="221"/>
      <c r="G21" s="221"/>
      <c r="H21" s="221"/>
      <c r="I21" s="221"/>
      <c r="J21" s="221"/>
      <c r="K21" s="221"/>
      <c r="L21" s="221"/>
      <c r="M21" s="221">
        <f>M25+M26</f>
        <v>26</v>
      </c>
      <c r="N21" s="221"/>
      <c r="O21" s="221"/>
      <c r="P21" s="221"/>
      <c r="Q21" s="221"/>
      <c r="R21" s="221"/>
      <c r="S21" s="221"/>
      <c r="T21" s="221"/>
      <c r="U21" s="221"/>
      <c r="V21" s="221"/>
      <c r="W21" s="221"/>
      <c r="X21" s="221"/>
      <c r="Y21" s="221"/>
      <c r="Z21" s="164">
        <f t="shared" si="2"/>
        <v>26</v>
      </c>
    </row>
    <row r="22" spans="2:27" s="162" customFormat="1">
      <c r="C22" s="177"/>
      <c r="D22" s="223">
        <f t="shared" ref="D22:Z22" si="6">SUM(D4:D21)</f>
        <v>137</v>
      </c>
      <c r="E22" s="223">
        <f t="shared" ref="E22" si="7">SUM(E4:E21)</f>
        <v>176</v>
      </c>
      <c r="F22" s="223">
        <f>SUM(F4:F21)</f>
        <v>192</v>
      </c>
      <c r="G22" s="223">
        <f t="shared" si="6"/>
        <v>166</v>
      </c>
      <c r="H22" s="223">
        <f t="shared" si="6"/>
        <v>143</v>
      </c>
      <c r="I22" s="223">
        <f t="shared" si="6"/>
        <v>148</v>
      </c>
      <c r="J22" s="223">
        <f t="shared" si="6"/>
        <v>164</v>
      </c>
      <c r="K22" s="223">
        <f t="shared" si="6"/>
        <v>195</v>
      </c>
      <c r="L22" s="223">
        <f t="shared" si="6"/>
        <v>195</v>
      </c>
      <c r="M22" s="223">
        <f t="shared" si="6"/>
        <v>168</v>
      </c>
      <c r="N22" s="223">
        <f t="shared" si="6"/>
        <v>132</v>
      </c>
      <c r="O22" s="223">
        <f t="shared" si="6"/>
        <v>183</v>
      </c>
      <c r="P22" s="223">
        <f t="shared" si="6"/>
        <v>139</v>
      </c>
      <c r="Q22" s="223">
        <f t="shared" si="6"/>
        <v>209</v>
      </c>
      <c r="R22" s="223">
        <f t="shared" si="6"/>
        <v>136</v>
      </c>
      <c r="S22" s="223">
        <f t="shared" si="6"/>
        <v>106</v>
      </c>
      <c r="T22" s="223">
        <f t="shared" si="6"/>
        <v>87</v>
      </c>
      <c r="U22" s="223">
        <f t="shared" si="6"/>
        <v>156</v>
      </c>
      <c r="V22" s="223">
        <f t="shared" si="6"/>
        <v>196</v>
      </c>
      <c r="W22" s="223">
        <f t="shared" si="6"/>
        <v>94</v>
      </c>
      <c r="X22" s="223">
        <f t="shared" si="6"/>
        <v>190</v>
      </c>
      <c r="Y22" s="223">
        <f t="shared" si="6"/>
        <v>295</v>
      </c>
      <c r="Z22" s="224">
        <f t="shared" si="6"/>
        <v>3607</v>
      </c>
    </row>
    <row r="23" spans="2:27"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144</v>
      </c>
      <c r="C24" s="216" t="s">
        <v>82</v>
      </c>
      <c r="D24" s="295">
        <f t="shared" ref="D24:Y26" si="8">INDEX(scorematrix,MATCH($C24,renners,0),MATCH(D$3,etappes,0))</f>
        <v>0</v>
      </c>
      <c r="E24" s="295">
        <f t="shared" si="8"/>
        <v>0</v>
      </c>
      <c r="F24" s="295">
        <f t="shared" si="8"/>
        <v>0</v>
      </c>
      <c r="G24" s="295">
        <f t="shared" si="8"/>
        <v>0</v>
      </c>
      <c r="H24" s="295">
        <f t="shared" si="8"/>
        <v>0</v>
      </c>
      <c r="I24" s="295">
        <f t="shared" si="8"/>
        <v>0</v>
      </c>
      <c r="J24" s="295">
        <f t="shared" si="8"/>
        <v>0</v>
      </c>
      <c r="K24" s="295">
        <f t="shared" si="8"/>
        <v>0</v>
      </c>
      <c r="L24" s="297">
        <f t="shared" si="8"/>
        <v>0</v>
      </c>
      <c r="M24" s="297">
        <f t="shared" si="8"/>
        <v>14</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0</v>
      </c>
      <c r="X24" s="295">
        <f t="shared" si="8"/>
        <v>0</v>
      </c>
      <c r="Y24" s="295">
        <f t="shared" si="8"/>
        <v>0</v>
      </c>
      <c r="Z24" s="229">
        <f>SUM(D24:Y24)</f>
        <v>14</v>
      </c>
    </row>
    <row r="25" spans="2:27" s="230" customFormat="1">
      <c r="B25" s="216" t="s">
        <v>145</v>
      </c>
      <c r="C25" s="216" t="s">
        <v>79</v>
      </c>
      <c r="D25" s="295">
        <f t="shared" si="8"/>
        <v>50</v>
      </c>
      <c r="E25" s="295">
        <f t="shared" si="8"/>
        <v>45</v>
      </c>
      <c r="F25" s="295">
        <f t="shared" si="8"/>
        <v>13</v>
      </c>
      <c r="G25" s="295">
        <f t="shared" si="8"/>
        <v>38</v>
      </c>
      <c r="H25" s="295">
        <f t="shared" si="8"/>
        <v>10</v>
      </c>
      <c r="I25" s="295">
        <f t="shared" si="8"/>
        <v>10</v>
      </c>
      <c r="J25" s="295">
        <f t="shared" si="8"/>
        <v>10</v>
      </c>
      <c r="K25" s="295">
        <f t="shared" si="8"/>
        <v>6</v>
      </c>
      <c r="L25" s="297">
        <f t="shared" si="8"/>
        <v>0</v>
      </c>
      <c r="M25" s="296">
        <f t="shared" si="8"/>
        <v>26</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29">
        <f>SUM(D25:Y25)</f>
        <v>208</v>
      </c>
    </row>
    <row r="26" spans="2:27" s="230" customFormat="1">
      <c r="B26" s="216" t="s">
        <v>208</v>
      </c>
      <c r="C26" s="216" t="s">
        <v>209</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6">
        <f t="shared" si="8"/>
        <v>0</v>
      </c>
      <c r="N26" s="295">
        <f t="shared" si="8"/>
        <v>0</v>
      </c>
      <c r="O26" s="295">
        <f t="shared" si="8"/>
        <v>0</v>
      </c>
      <c r="P26" s="295">
        <f t="shared" si="8"/>
        <v>0</v>
      </c>
      <c r="Q26" s="295">
        <f t="shared" si="8"/>
        <v>0</v>
      </c>
      <c r="R26" s="295">
        <f t="shared" si="8"/>
        <v>0</v>
      </c>
      <c r="S26" s="295">
        <f t="shared" si="8"/>
        <v>0</v>
      </c>
      <c r="T26" s="295">
        <f t="shared" si="8"/>
        <v>0</v>
      </c>
      <c r="U26" s="295">
        <f t="shared" si="8"/>
        <v>0</v>
      </c>
      <c r="V26" s="295">
        <f t="shared" si="8"/>
        <v>0</v>
      </c>
      <c r="W26" s="295">
        <f t="shared" si="8"/>
        <v>0</v>
      </c>
      <c r="X26" s="295">
        <f t="shared" si="8"/>
        <v>0</v>
      </c>
      <c r="Y26" s="295">
        <f t="shared" si="8"/>
        <v>0</v>
      </c>
      <c r="Z26" s="229">
        <f>SUM(D26:Y26)</f>
        <v>0</v>
      </c>
    </row>
    <row r="27" spans="2:27" s="225" customFormat="1">
      <c r="C27" s="222"/>
      <c r="D27" s="194"/>
      <c r="E27" s="194"/>
      <c r="F27" s="194"/>
      <c r="G27" s="226"/>
      <c r="H27" s="194"/>
      <c r="I27" s="194"/>
      <c r="J27" s="194"/>
      <c r="K27" s="194"/>
      <c r="L27" s="194"/>
      <c r="M27" s="194"/>
      <c r="N27" s="194"/>
      <c r="O27" s="194"/>
      <c r="Z27" s="231"/>
    </row>
    <row r="28" spans="2:27" s="225" customFormat="1">
      <c r="C28" s="232"/>
      <c r="D28" s="194"/>
      <c r="E28" s="194"/>
      <c r="F28" s="194"/>
      <c r="G28" s="226"/>
      <c r="H28" s="194"/>
      <c r="I28" s="194"/>
      <c r="J28" s="194"/>
      <c r="K28" s="194"/>
      <c r="L28" s="194"/>
      <c r="M28" s="194"/>
      <c r="N28" s="194"/>
      <c r="O28" s="194"/>
      <c r="Z28" s="231"/>
    </row>
    <row r="29" spans="2:27" s="225" customFormat="1">
      <c r="C29" s="222"/>
      <c r="D29" s="194"/>
      <c r="E29" s="194"/>
      <c r="F29" s="194"/>
      <c r="G29" s="226"/>
      <c r="H29" s="194"/>
      <c r="I29" s="194"/>
      <c r="J29" s="194"/>
      <c r="K29" s="194"/>
      <c r="L29" s="194"/>
      <c r="M29" s="194"/>
      <c r="N29" s="194"/>
      <c r="O29" s="194"/>
      <c r="Z29" s="231"/>
    </row>
    <row r="30" spans="2:27" s="225" customFormat="1">
      <c r="C30" s="222"/>
      <c r="D30" s="194"/>
      <c r="E30" s="194"/>
      <c r="F30" s="194"/>
      <c r="G30" s="226"/>
      <c r="H30" s="194"/>
      <c r="I30" s="194"/>
      <c r="J30" s="194"/>
      <c r="K30" s="194"/>
      <c r="L30" s="194"/>
      <c r="M30" s="194"/>
      <c r="N30" s="194"/>
      <c r="O30" s="194"/>
      <c r="Z30" s="231"/>
    </row>
    <row r="31" spans="2:27" s="225" customFormat="1">
      <c r="C31" s="222"/>
      <c r="D31" s="194"/>
      <c r="E31" s="194"/>
      <c r="F31" s="194"/>
      <c r="G31" s="226"/>
      <c r="H31" s="194"/>
      <c r="I31" s="194"/>
      <c r="J31" s="194"/>
      <c r="K31" s="194"/>
      <c r="L31" s="194"/>
      <c r="M31" s="194"/>
      <c r="N31" s="194"/>
      <c r="O31" s="194"/>
      <c r="Z31" s="231"/>
    </row>
    <row r="32" spans="2:27" s="234" customFormat="1">
      <c r="C32" s="171"/>
      <c r="D32" s="235"/>
      <c r="E32" s="235"/>
      <c r="F32" s="235"/>
      <c r="G32" s="236"/>
      <c r="H32" s="190"/>
      <c r="I32" s="190"/>
      <c r="J32" s="190"/>
      <c r="K32" s="190"/>
      <c r="L32" s="190"/>
      <c r="M32" s="190"/>
      <c r="N32" s="190"/>
      <c r="O32" s="190"/>
      <c r="P32" s="237"/>
      <c r="Z32" s="180"/>
    </row>
    <row r="33" spans="3:26" s="234" customFormat="1">
      <c r="C33" s="171"/>
      <c r="D33" s="235"/>
      <c r="E33" s="235"/>
      <c r="F33" s="235"/>
      <c r="G33" s="236"/>
      <c r="H33" s="190"/>
      <c r="I33" s="190"/>
      <c r="J33" s="190"/>
      <c r="K33" s="190"/>
      <c r="L33" s="190"/>
      <c r="M33" s="190"/>
      <c r="N33" s="190"/>
      <c r="O33" s="190"/>
      <c r="P33" s="237"/>
      <c r="Z33" s="180"/>
    </row>
    <row r="34" spans="3:26" s="234" customFormat="1">
      <c r="C34" s="171"/>
      <c r="D34" s="235"/>
      <c r="E34" s="235"/>
      <c r="F34" s="235"/>
      <c r="G34" s="236"/>
      <c r="H34" s="190"/>
      <c r="I34" s="190"/>
      <c r="J34" s="190"/>
      <c r="K34" s="190"/>
      <c r="L34" s="190"/>
      <c r="M34" s="190"/>
      <c r="N34" s="190"/>
      <c r="O34" s="190"/>
      <c r="P34" s="237"/>
      <c r="Z34" s="180"/>
    </row>
    <row r="35" spans="3:26" s="234" customFormat="1">
      <c r="C35" s="171"/>
      <c r="D35" s="235"/>
      <c r="E35" s="235"/>
      <c r="F35" s="235"/>
      <c r="G35" s="236"/>
      <c r="H35" s="190"/>
      <c r="I35" s="190"/>
      <c r="J35" s="190"/>
      <c r="K35" s="190"/>
      <c r="L35" s="190"/>
      <c r="M35" s="190"/>
      <c r="N35" s="190"/>
      <c r="O35" s="190"/>
      <c r="P35" s="237"/>
      <c r="Z35" s="180"/>
    </row>
    <row r="36" spans="3:26" s="234" customFormat="1">
      <c r="C36" s="171"/>
      <c r="D36" s="235"/>
      <c r="E36" s="235"/>
      <c r="F36" s="235"/>
      <c r="G36" s="236"/>
      <c r="H36" s="190"/>
      <c r="I36" s="190"/>
      <c r="J36" s="190"/>
      <c r="K36" s="190"/>
      <c r="L36" s="190"/>
      <c r="M36" s="190"/>
      <c r="N36" s="190"/>
      <c r="O36" s="190"/>
      <c r="P36" s="237"/>
      <c r="Z36" s="180"/>
    </row>
    <row r="37" spans="3:26" s="234" customFormat="1">
      <c r="C37" s="171"/>
      <c r="D37" s="235"/>
      <c r="E37" s="235"/>
      <c r="F37" s="235"/>
      <c r="G37" s="236"/>
      <c r="H37" s="190"/>
      <c r="I37" s="190"/>
      <c r="J37" s="190"/>
      <c r="K37" s="190"/>
      <c r="L37" s="190"/>
      <c r="M37" s="190"/>
      <c r="N37" s="190"/>
      <c r="O37" s="190"/>
      <c r="P37" s="237"/>
      <c r="Z37" s="180"/>
    </row>
    <row r="38" spans="3:26" s="234" customFormat="1">
      <c r="C38" s="171"/>
      <c r="D38" s="235"/>
      <c r="E38" s="235"/>
      <c r="F38" s="235"/>
      <c r="G38" s="236"/>
      <c r="H38" s="190"/>
      <c r="I38" s="190"/>
      <c r="J38" s="190"/>
      <c r="K38" s="190"/>
      <c r="L38" s="190"/>
      <c r="M38" s="190"/>
      <c r="N38" s="190"/>
      <c r="O38" s="190"/>
      <c r="P38" s="237"/>
      <c r="Z38" s="180"/>
    </row>
    <row r="39" spans="3:26" s="234" customFormat="1">
      <c r="C39" s="171"/>
      <c r="D39" s="235"/>
      <c r="E39" s="235"/>
      <c r="F39" s="235"/>
      <c r="G39" s="236"/>
      <c r="H39" s="190"/>
      <c r="I39" s="190"/>
      <c r="J39" s="190"/>
      <c r="K39" s="190"/>
      <c r="L39" s="190"/>
      <c r="M39" s="190"/>
      <c r="N39" s="190"/>
      <c r="O39" s="190"/>
      <c r="P39" s="237"/>
      <c r="Z39" s="180"/>
    </row>
    <row r="40" spans="3:26" s="234" customFormat="1">
      <c r="C40" s="171"/>
      <c r="D40" s="235"/>
      <c r="E40" s="235"/>
      <c r="F40" s="235"/>
      <c r="G40" s="236"/>
      <c r="H40" s="190"/>
      <c r="I40" s="190"/>
      <c r="J40" s="190"/>
      <c r="K40" s="190"/>
      <c r="L40" s="190"/>
      <c r="M40" s="190"/>
      <c r="N40" s="190"/>
      <c r="O40" s="190"/>
      <c r="P40" s="237"/>
      <c r="Z40" s="180"/>
    </row>
    <row r="41" spans="3:26" s="234" customFormat="1">
      <c r="C41" s="193"/>
      <c r="D41" s="235"/>
      <c r="E41" s="235"/>
      <c r="F41" s="235"/>
      <c r="G41" s="236"/>
      <c r="H41" s="190"/>
      <c r="I41" s="190"/>
      <c r="J41" s="190"/>
      <c r="K41" s="190"/>
      <c r="L41" s="190"/>
      <c r="M41" s="190"/>
      <c r="N41" s="190"/>
      <c r="O41" s="190"/>
      <c r="P41" s="237"/>
      <c r="Z41" s="180"/>
    </row>
    <row r="42" spans="3:26" s="234" customFormat="1">
      <c r="C42" s="193"/>
      <c r="D42" s="235"/>
      <c r="E42" s="235"/>
      <c r="F42" s="235"/>
      <c r="G42" s="236"/>
      <c r="H42" s="190"/>
      <c r="I42" s="190"/>
      <c r="J42" s="190"/>
      <c r="K42" s="190"/>
      <c r="L42" s="190"/>
      <c r="M42" s="190"/>
      <c r="N42" s="190"/>
      <c r="O42" s="190"/>
      <c r="P42" s="237"/>
      <c r="Z42" s="180"/>
    </row>
    <row r="43" spans="3:26" s="234" customFormat="1">
      <c r="C43" s="193"/>
      <c r="D43" s="235"/>
      <c r="E43" s="235"/>
      <c r="F43" s="235"/>
      <c r="G43" s="236"/>
      <c r="H43" s="190"/>
      <c r="I43" s="190"/>
      <c r="J43" s="190"/>
      <c r="K43" s="190"/>
      <c r="L43" s="190"/>
      <c r="M43" s="190"/>
      <c r="N43" s="190"/>
      <c r="O43" s="190"/>
      <c r="P43" s="237"/>
      <c r="Z43" s="180"/>
    </row>
    <row r="44" spans="3:26" s="234" customFormat="1">
      <c r="C44" s="193"/>
      <c r="D44" s="235"/>
      <c r="E44" s="235"/>
      <c r="F44" s="235"/>
      <c r="G44" s="236"/>
      <c r="H44" s="190"/>
      <c r="I44" s="190"/>
      <c r="J44" s="190"/>
      <c r="K44" s="190"/>
      <c r="L44" s="190"/>
      <c r="M44" s="190"/>
      <c r="N44" s="190"/>
      <c r="O44" s="190"/>
      <c r="P44" s="237"/>
      <c r="Z44" s="180"/>
    </row>
    <row r="45" spans="3:26" s="234" customFormat="1">
      <c r="C45" s="193"/>
      <c r="D45" s="235"/>
      <c r="E45" s="235"/>
      <c r="F45" s="235"/>
      <c r="G45" s="236"/>
      <c r="H45" s="190"/>
      <c r="I45" s="190"/>
      <c r="J45" s="190"/>
      <c r="K45" s="190"/>
      <c r="L45" s="190"/>
      <c r="M45" s="190"/>
      <c r="N45" s="190"/>
      <c r="O45" s="190"/>
      <c r="P45" s="237"/>
      <c r="Z45" s="180"/>
    </row>
    <row r="46" spans="3:26" s="234" customFormat="1">
      <c r="C46" s="193"/>
      <c r="D46" s="235"/>
      <c r="E46" s="235"/>
      <c r="F46" s="235"/>
      <c r="G46" s="236"/>
      <c r="H46" s="190"/>
      <c r="I46" s="190"/>
      <c r="J46" s="190"/>
      <c r="K46" s="190"/>
      <c r="L46" s="190"/>
      <c r="M46" s="190"/>
      <c r="N46" s="190"/>
      <c r="O46" s="190"/>
      <c r="P46" s="237"/>
      <c r="Z46" s="180"/>
    </row>
    <row r="47" spans="3:26" s="234" customFormat="1">
      <c r="C47" s="193"/>
      <c r="D47" s="235"/>
      <c r="E47" s="235"/>
      <c r="F47" s="235"/>
      <c r="G47" s="236"/>
      <c r="H47" s="190"/>
      <c r="I47" s="190"/>
      <c r="J47" s="190"/>
      <c r="K47" s="190"/>
      <c r="L47" s="190"/>
      <c r="M47" s="190"/>
      <c r="N47" s="190"/>
      <c r="O47" s="190"/>
      <c r="P47" s="237"/>
      <c r="Z47" s="180"/>
    </row>
    <row r="48" spans="3:26" s="234" customFormat="1">
      <c r="C48" s="193"/>
      <c r="D48" s="235"/>
      <c r="E48" s="235"/>
      <c r="F48" s="235"/>
      <c r="G48" s="236"/>
      <c r="H48" s="190"/>
      <c r="I48" s="190"/>
      <c r="J48" s="190"/>
      <c r="K48" s="190"/>
      <c r="L48" s="190"/>
      <c r="M48" s="190"/>
      <c r="N48" s="190"/>
      <c r="O48" s="190"/>
      <c r="P48" s="237"/>
      <c r="Z48" s="180"/>
    </row>
    <row r="49" spans="3:26" s="234" customFormat="1">
      <c r="C49" s="193"/>
      <c r="D49" s="235"/>
      <c r="E49" s="235"/>
      <c r="F49" s="235"/>
      <c r="G49" s="236"/>
      <c r="H49" s="190"/>
      <c r="I49" s="190"/>
      <c r="J49" s="190"/>
      <c r="K49" s="190"/>
      <c r="L49" s="190"/>
      <c r="M49" s="190"/>
      <c r="N49" s="190"/>
      <c r="O49" s="190"/>
      <c r="P49" s="237"/>
      <c r="Z49" s="180"/>
    </row>
    <row r="50" spans="3:26" s="234" customFormat="1">
      <c r="C50" s="193"/>
      <c r="D50" s="235"/>
      <c r="E50" s="235"/>
      <c r="F50" s="235"/>
      <c r="G50" s="236"/>
      <c r="H50" s="190"/>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row r="57" spans="3:26" s="234" customFormat="1">
      <c r="C57" s="193"/>
      <c r="D57" s="235"/>
      <c r="E57" s="235"/>
      <c r="F57" s="235"/>
      <c r="G57" s="236"/>
      <c r="H57" s="190"/>
      <c r="I57" s="190"/>
      <c r="J57" s="190"/>
      <c r="K57" s="190"/>
      <c r="L57" s="190"/>
      <c r="M57" s="190"/>
      <c r="N57" s="190"/>
      <c r="O57" s="190"/>
      <c r="P57" s="237"/>
      <c r="Z57" s="180"/>
    </row>
    <row r="58" spans="3:26" s="234" customFormat="1">
      <c r="C58" s="193"/>
      <c r="D58" s="235"/>
      <c r="E58" s="235"/>
      <c r="F58" s="235"/>
      <c r="G58" s="236"/>
      <c r="H58" s="190"/>
      <c r="I58" s="190"/>
      <c r="J58" s="190"/>
      <c r="K58" s="190"/>
      <c r="L58" s="190"/>
      <c r="M58" s="190"/>
      <c r="N58" s="190"/>
      <c r="O58" s="190"/>
      <c r="P58" s="237"/>
      <c r="Z58" s="180"/>
    </row>
    <row r="59" spans="3:26" s="234" customFormat="1">
      <c r="C59" s="193"/>
      <c r="D59" s="235"/>
      <c r="E59" s="235"/>
      <c r="F59" s="235"/>
      <c r="G59" s="236"/>
      <c r="H59" s="190"/>
      <c r="I59" s="190"/>
      <c r="J59" s="190"/>
      <c r="K59" s="190"/>
      <c r="L59" s="190"/>
      <c r="M59" s="190"/>
      <c r="N59" s="190"/>
      <c r="O59" s="190"/>
      <c r="P59" s="237"/>
      <c r="Z59" s="180"/>
    </row>
    <row r="60" spans="3:26" s="234" customFormat="1">
      <c r="C60" s="193"/>
      <c r="D60" s="235"/>
      <c r="E60" s="235"/>
      <c r="F60" s="235"/>
      <c r="G60" s="236"/>
      <c r="H60" s="190"/>
      <c r="I60" s="190"/>
      <c r="J60" s="190"/>
      <c r="K60" s="190"/>
      <c r="L60" s="190"/>
      <c r="M60" s="190"/>
      <c r="N60" s="190"/>
      <c r="O60" s="190"/>
      <c r="P60" s="237"/>
      <c r="Z60" s="180"/>
    </row>
    <row r="61" spans="3:26" s="234" customFormat="1">
      <c r="C61" s="193"/>
      <c r="D61" s="235"/>
      <c r="E61" s="235"/>
      <c r="F61" s="235"/>
      <c r="G61" s="236"/>
      <c r="H61" s="190"/>
      <c r="I61" s="190"/>
      <c r="J61" s="190"/>
      <c r="K61" s="190"/>
      <c r="L61" s="190"/>
      <c r="M61" s="190"/>
      <c r="N61" s="190"/>
      <c r="O61" s="190"/>
      <c r="P61" s="237"/>
      <c r="Z61" s="180"/>
    </row>
    <row r="62" spans="3:26" s="234" customFormat="1">
      <c r="C62" s="193"/>
      <c r="D62" s="235"/>
      <c r="E62" s="235"/>
      <c r="F62" s="235"/>
      <c r="G62" s="236"/>
      <c r="H62" s="190"/>
      <c r="I62" s="190"/>
      <c r="J62" s="190"/>
      <c r="K62" s="190"/>
      <c r="L62" s="190"/>
      <c r="M62" s="190"/>
      <c r="N62" s="190"/>
      <c r="O62" s="190"/>
      <c r="P62" s="237"/>
      <c r="Z62" s="180"/>
    </row>
    <row r="63" spans="3:26" s="234" customFormat="1">
      <c r="C63" s="193"/>
      <c r="D63" s="235"/>
      <c r="E63" s="235"/>
      <c r="F63" s="235"/>
      <c r="G63" s="236"/>
      <c r="H63" s="190"/>
      <c r="I63" s="190"/>
      <c r="J63" s="190"/>
      <c r="K63" s="190"/>
      <c r="L63" s="190"/>
      <c r="M63" s="190"/>
      <c r="N63" s="190"/>
      <c r="O63" s="190"/>
      <c r="P63" s="237"/>
      <c r="Z63" s="180"/>
    </row>
    <row r="64" spans="3:26" s="234" customFormat="1">
      <c r="C64" s="193"/>
      <c r="D64" s="235"/>
      <c r="E64" s="235"/>
      <c r="F64" s="235"/>
      <c r="G64" s="236"/>
      <c r="H64" s="190"/>
      <c r="I64" s="190"/>
      <c r="J64" s="190"/>
      <c r="K64" s="190"/>
      <c r="L64" s="190"/>
      <c r="M64" s="190"/>
      <c r="N64" s="190"/>
      <c r="O64" s="190"/>
      <c r="P64" s="237"/>
      <c r="Z64" s="180"/>
    </row>
    <row r="65" spans="3:26" s="234" customFormat="1">
      <c r="C65" s="193"/>
      <c r="D65" s="235"/>
      <c r="E65" s="235"/>
      <c r="F65" s="235"/>
      <c r="G65" s="236"/>
      <c r="H65" s="190"/>
      <c r="I65" s="190"/>
      <c r="J65" s="190"/>
      <c r="K65" s="190"/>
      <c r="L65" s="190"/>
      <c r="M65" s="190"/>
      <c r="N65" s="190"/>
      <c r="O65" s="190"/>
      <c r="P65" s="237"/>
      <c r="Z65" s="180"/>
    </row>
    <row r="66" spans="3:26" s="234" customFormat="1">
      <c r="C66" s="193"/>
      <c r="D66" s="235"/>
      <c r="E66" s="235"/>
      <c r="F66" s="235"/>
      <c r="G66" s="236"/>
      <c r="H66" s="190"/>
      <c r="I66" s="190"/>
      <c r="J66" s="190"/>
      <c r="K66" s="190"/>
      <c r="L66" s="190"/>
      <c r="M66" s="190"/>
      <c r="N66" s="190"/>
      <c r="O66" s="190"/>
      <c r="P66" s="237"/>
      <c r="Z66" s="180"/>
    </row>
    <row r="67" spans="3:26" s="234" customFormat="1">
      <c r="C67" s="193"/>
      <c r="D67" s="235"/>
      <c r="E67" s="235"/>
      <c r="F67" s="235"/>
      <c r="G67" s="236"/>
      <c r="H67" s="190"/>
      <c r="I67" s="190"/>
      <c r="J67" s="190"/>
      <c r="K67" s="190"/>
      <c r="L67" s="190"/>
      <c r="M67" s="190"/>
      <c r="N67" s="190"/>
      <c r="O67" s="190"/>
      <c r="P67" s="237"/>
      <c r="Z67" s="180"/>
    </row>
    <row r="68" spans="3:26" s="234" customFormat="1">
      <c r="C68" s="193"/>
      <c r="D68" s="235"/>
      <c r="E68" s="235"/>
      <c r="F68" s="235"/>
      <c r="G68" s="236"/>
      <c r="H68" s="190"/>
      <c r="I68" s="190"/>
      <c r="J68" s="190"/>
      <c r="K68" s="190"/>
      <c r="L68" s="190"/>
      <c r="M68" s="190"/>
      <c r="N68" s="190"/>
      <c r="O68" s="190"/>
      <c r="P68" s="237"/>
      <c r="Z68" s="180"/>
    </row>
    <row r="69" spans="3:26" s="234" customFormat="1">
      <c r="C69" s="193"/>
      <c r="D69" s="235"/>
      <c r="E69" s="235"/>
      <c r="F69" s="235"/>
      <c r="G69" s="236"/>
      <c r="H69" s="190"/>
      <c r="I69" s="190"/>
      <c r="J69" s="190"/>
      <c r="K69" s="190"/>
      <c r="L69" s="190"/>
      <c r="M69" s="190"/>
      <c r="N69" s="190"/>
      <c r="O69" s="190"/>
      <c r="P69" s="237"/>
      <c r="Z69" s="180"/>
    </row>
    <row r="70" spans="3:26" s="234" customFormat="1">
      <c r="C70" s="193"/>
      <c r="D70" s="235"/>
      <c r="E70" s="235"/>
      <c r="F70" s="235"/>
      <c r="G70" s="236"/>
      <c r="H70" s="190"/>
      <c r="I70" s="190"/>
      <c r="J70" s="190"/>
      <c r="K70" s="190"/>
      <c r="L70" s="190"/>
      <c r="M70" s="190"/>
      <c r="N70" s="190"/>
      <c r="O70" s="190"/>
      <c r="P70" s="237"/>
      <c r="Z70" s="180"/>
    </row>
    <row r="71" spans="3:26" s="234" customFormat="1">
      <c r="C71" s="193"/>
      <c r="D71" s="235"/>
      <c r="E71" s="235"/>
      <c r="F71" s="235"/>
      <c r="G71" s="236"/>
      <c r="H71" s="190"/>
      <c r="I71" s="190"/>
      <c r="J71" s="190"/>
      <c r="K71" s="190"/>
      <c r="L71" s="190"/>
      <c r="M71" s="190"/>
      <c r="N71" s="190"/>
      <c r="O71" s="190"/>
      <c r="P71" s="237"/>
      <c r="Z71" s="180"/>
    </row>
  </sheetData>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12"/>
  </sheetPr>
  <dimension ref="A1:AA71"/>
  <sheetViews>
    <sheetView showZeros="0" workbookViewId="0">
      <selection activeCell="T22" sqref="T22"/>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72" t="s">
        <v>80</v>
      </c>
    </row>
    <row r="2" spans="2:27">
      <c r="C2" s="162"/>
      <c r="G2" s="179"/>
    </row>
    <row r="3" spans="2:27" s="177" customFormat="1" ht="13.5" thickBot="1">
      <c r="C3" s="215" t="s">
        <v>211</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158" t="s">
        <v>194</v>
      </c>
      <c r="C4" s="158" t="s">
        <v>85</v>
      </c>
      <c r="D4" s="159">
        <f t="shared" ref="D4:M13" si="0">INDEX(scorematrix,MATCH($C4,renners,0),MATCH(D$3,etappes,0))</f>
        <v>29</v>
      </c>
      <c r="E4" s="159">
        <f t="shared" si="0"/>
        <v>35</v>
      </c>
      <c r="F4" s="159">
        <f t="shared" si="0"/>
        <v>14</v>
      </c>
      <c r="G4" s="159">
        <f t="shared" si="0"/>
        <v>38</v>
      </c>
      <c r="H4" s="159">
        <f t="shared" si="0"/>
        <v>24</v>
      </c>
      <c r="I4" s="159">
        <f t="shared" si="0"/>
        <v>6</v>
      </c>
      <c r="J4" s="159">
        <f t="shared" si="0"/>
        <v>0</v>
      </c>
      <c r="K4" s="159">
        <f t="shared" si="0"/>
        <v>0</v>
      </c>
      <c r="L4" s="159">
        <f t="shared" si="0"/>
        <v>0</v>
      </c>
      <c r="M4" s="159">
        <f t="shared" si="0"/>
        <v>0</v>
      </c>
      <c r="N4" s="159">
        <f t="shared" ref="N4:Y13" si="1">INDEX(scorematrix,MATCH($C4,renners,0),MATCH(N$3,etappes,0))</f>
        <v>0</v>
      </c>
      <c r="O4" s="159">
        <f t="shared" si="1"/>
        <v>0</v>
      </c>
      <c r="P4" s="159">
        <f t="shared" si="1"/>
        <v>0</v>
      </c>
      <c r="Q4" s="159">
        <f t="shared" si="1"/>
        <v>27</v>
      </c>
      <c r="R4" s="159">
        <f t="shared" si="1"/>
        <v>1</v>
      </c>
      <c r="S4" s="159">
        <f t="shared" si="1"/>
        <v>1</v>
      </c>
      <c r="T4" s="159">
        <f t="shared" si="1"/>
        <v>1</v>
      </c>
      <c r="U4" s="159">
        <f t="shared" si="1"/>
        <v>1</v>
      </c>
      <c r="V4" s="159">
        <f t="shared" si="1"/>
        <v>14</v>
      </c>
      <c r="W4" s="159">
        <f t="shared" si="1"/>
        <v>1</v>
      </c>
      <c r="X4" s="159">
        <f t="shared" si="1"/>
        <v>18</v>
      </c>
      <c r="Y4" s="159">
        <f t="shared" si="1"/>
        <v>1</v>
      </c>
      <c r="Z4" s="164">
        <f t="shared" ref="Z4:Z21" si="2">SUM(D4:Y4)</f>
        <v>211</v>
      </c>
      <c r="AA4" s="158" t="str">
        <f t="shared" ref="AA4:AA18" si="3">C4</f>
        <v>Boasson Hagen</v>
      </c>
    </row>
    <row r="5" spans="2:27">
      <c r="B5" s="158" t="s">
        <v>145</v>
      </c>
      <c r="C5" s="158" t="s">
        <v>79</v>
      </c>
      <c r="D5" s="159">
        <f t="shared" si="0"/>
        <v>50</v>
      </c>
      <c r="E5" s="159">
        <f t="shared" si="0"/>
        <v>45</v>
      </c>
      <c r="F5" s="159">
        <f t="shared" si="0"/>
        <v>13</v>
      </c>
      <c r="G5" s="159">
        <f t="shared" si="0"/>
        <v>38</v>
      </c>
      <c r="H5" s="159">
        <f t="shared" si="0"/>
        <v>10</v>
      </c>
      <c r="I5" s="159">
        <f t="shared" si="0"/>
        <v>10</v>
      </c>
      <c r="J5" s="159">
        <f t="shared" si="0"/>
        <v>10</v>
      </c>
      <c r="K5" s="159">
        <f t="shared" si="0"/>
        <v>6</v>
      </c>
      <c r="L5" s="159">
        <f t="shared" si="0"/>
        <v>0</v>
      </c>
      <c r="M5" s="159">
        <f t="shared" si="0"/>
        <v>26</v>
      </c>
      <c r="N5" s="159">
        <f t="shared" si="1"/>
        <v>0</v>
      </c>
      <c r="O5" s="159">
        <f t="shared" si="1"/>
        <v>0</v>
      </c>
      <c r="P5" s="159">
        <f t="shared" si="1"/>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64">
        <f t="shared" si="2"/>
        <v>208</v>
      </c>
      <c r="AA5" s="158" t="str">
        <f t="shared" si="3"/>
        <v>Cancellara</v>
      </c>
    </row>
    <row r="6" spans="2:27">
      <c r="B6" s="158" t="s">
        <v>150</v>
      </c>
      <c r="C6" s="158" t="s">
        <v>75</v>
      </c>
      <c r="D6" s="159">
        <f t="shared" si="0"/>
        <v>0</v>
      </c>
      <c r="E6" s="159">
        <f t="shared" si="0"/>
        <v>0</v>
      </c>
      <c r="F6" s="159">
        <f t="shared" si="0"/>
        <v>39</v>
      </c>
      <c r="G6" s="159">
        <f t="shared" si="0"/>
        <v>3</v>
      </c>
      <c r="H6" s="159">
        <f t="shared" si="0"/>
        <v>2</v>
      </c>
      <c r="I6" s="159">
        <f t="shared" si="0"/>
        <v>24</v>
      </c>
      <c r="J6" s="159">
        <f t="shared" si="0"/>
        <v>2</v>
      </c>
      <c r="K6" s="159">
        <f t="shared" si="0"/>
        <v>2</v>
      </c>
      <c r="L6" s="159">
        <f t="shared" si="0"/>
        <v>2</v>
      </c>
      <c r="M6" s="159">
        <f t="shared" si="0"/>
        <v>2</v>
      </c>
      <c r="N6" s="159">
        <f t="shared" si="1"/>
        <v>2</v>
      </c>
      <c r="O6" s="159">
        <f t="shared" si="1"/>
        <v>2</v>
      </c>
      <c r="P6" s="159">
        <f t="shared" si="1"/>
        <v>2</v>
      </c>
      <c r="Q6" s="159">
        <f t="shared" si="1"/>
        <v>2</v>
      </c>
      <c r="R6" s="159">
        <f t="shared" si="1"/>
        <v>2</v>
      </c>
      <c r="S6" s="159">
        <f t="shared" si="1"/>
        <v>2</v>
      </c>
      <c r="T6" s="159">
        <f t="shared" si="1"/>
        <v>2</v>
      </c>
      <c r="U6" s="159">
        <f t="shared" si="1"/>
        <v>2</v>
      </c>
      <c r="V6" s="159">
        <f t="shared" si="1"/>
        <v>37</v>
      </c>
      <c r="W6" s="159">
        <f t="shared" si="1"/>
        <v>2</v>
      </c>
      <c r="X6" s="159">
        <f t="shared" si="1"/>
        <v>37</v>
      </c>
      <c r="Y6" s="159">
        <f t="shared" si="1"/>
        <v>3</v>
      </c>
      <c r="Z6" s="164">
        <f t="shared" si="2"/>
        <v>171</v>
      </c>
      <c r="AA6" s="158" t="str">
        <f t="shared" si="3"/>
        <v>Cavendish</v>
      </c>
    </row>
    <row r="7" spans="2:27">
      <c r="B7" s="158" t="s">
        <v>141</v>
      </c>
      <c r="C7" s="158" t="s">
        <v>81</v>
      </c>
      <c r="D7" s="159">
        <f t="shared" si="0"/>
        <v>13</v>
      </c>
      <c r="E7" s="159">
        <f t="shared" si="0"/>
        <v>9</v>
      </c>
      <c r="F7" s="159">
        <f t="shared" si="0"/>
        <v>3</v>
      </c>
      <c r="G7" s="159">
        <f t="shared" si="0"/>
        <v>24</v>
      </c>
      <c r="H7" s="159">
        <f t="shared" si="0"/>
        <v>4</v>
      </c>
      <c r="I7" s="159">
        <f t="shared" si="0"/>
        <v>4</v>
      </c>
      <c r="J7" s="159">
        <f t="shared" si="0"/>
        <v>17</v>
      </c>
      <c r="K7" s="159">
        <f t="shared" si="0"/>
        <v>43</v>
      </c>
      <c r="L7" s="159">
        <f t="shared" si="0"/>
        <v>42</v>
      </c>
      <c r="M7" s="159">
        <f t="shared" si="0"/>
        <v>32</v>
      </c>
      <c r="N7" s="159">
        <f t="shared" si="1"/>
        <v>23</v>
      </c>
      <c r="O7" s="159">
        <f t="shared" si="1"/>
        <v>22</v>
      </c>
      <c r="P7" s="159">
        <f t="shared" si="1"/>
        <v>25</v>
      </c>
      <c r="Q7" s="159">
        <f t="shared" si="1"/>
        <v>17</v>
      </c>
      <c r="R7" s="159">
        <f t="shared" si="1"/>
        <v>17</v>
      </c>
      <c r="S7" s="159">
        <f t="shared" si="1"/>
        <v>7</v>
      </c>
      <c r="T7" s="159">
        <f t="shared" si="1"/>
        <v>4</v>
      </c>
      <c r="U7" s="159">
        <f t="shared" si="1"/>
        <v>13</v>
      </c>
      <c r="V7" s="159">
        <f t="shared" si="1"/>
        <v>5</v>
      </c>
      <c r="W7" s="159">
        <f t="shared" si="1"/>
        <v>4</v>
      </c>
      <c r="X7" s="159">
        <f t="shared" si="1"/>
        <v>4</v>
      </c>
      <c r="Y7" s="159">
        <f t="shared" si="1"/>
        <v>38</v>
      </c>
      <c r="Z7" s="164">
        <f t="shared" si="2"/>
        <v>370</v>
      </c>
      <c r="AA7" s="158" t="str">
        <f t="shared" si="3"/>
        <v>Evans</v>
      </c>
    </row>
    <row r="8" spans="2:27">
      <c r="B8" s="158" t="s">
        <v>133</v>
      </c>
      <c r="C8" s="158" t="s">
        <v>76</v>
      </c>
      <c r="D8" s="159">
        <f t="shared" si="0"/>
        <v>0</v>
      </c>
      <c r="E8" s="159">
        <f t="shared" si="0"/>
        <v>0</v>
      </c>
      <c r="F8" s="159">
        <f t="shared" si="0"/>
        <v>16</v>
      </c>
      <c r="G8" s="159">
        <f t="shared" si="0"/>
        <v>0</v>
      </c>
      <c r="H8" s="159">
        <f t="shared" si="0"/>
        <v>0</v>
      </c>
      <c r="I8" s="159">
        <f t="shared" si="0"/>
        <v>0</v>
      </c>
      <c r="J8" s="159">
        <f t="shared" si="0"/>
        <v>0</v>
      </c>
      <c r="K8" s="159">
        <f t="shared" si="0"/>
        <v>0</v>
      </c>
      <c r="L8" s="159">
        <f t="shared" si="0"/>
        <v>0</v>
      </c>
      <c r="M8" s="159">
        <f t="shared" si="0"/>
        <v>0</v>
      </c>
      <c r="N8" s="159">
        <f t="shared" si="1"/>
        <v>0</v>
      </c>
      <c r="O8" s="159">
        <f t="shared" si="1"/>
        <v>0</v>
      </c>
      <c r="P8" s="159">
        <f t="shared" si="1"/>
        <v>0</v>
      </c>
      <c r="Q8" s="159">
        <f t="shared" si="1"/>
        <v>0</v>
      </c>
      <c r="R8" s="159">
        <f t="shared" si="1"/>
        <v>0</v>
      </c>
      <c r="S8" s="159">
        <f t="shared" si="1"/>
        <v>18</v>
      </c>
      <c r="T8" s="159">
        <f t="shared" si="1"/>
        <v>0</v>
      </c>
      <c r="U8" s="159">
        <f t="shared" si="1"/>
        <v>0</v>
      </c>
      <c r="V8" s="159">
        <f t="shared" si="1"/>
        <v>20</v>
      </c>
      <c r="W8" s="159">
        <f t="shared" si="1"/>
        <v>0</v>
      </c>
      <c r="X8" s="159">
        <f t="shared" si="1"/>
        <v>15</v>
      </c>
      <c r="Y8" s="159">
        <f t="shared" si="1"/>
        <v>0</v>
      </c>
      <c r="Z8" s="164">
        <f t="shared" si="2"/>
        <v>69</v>
      </c>
      <c r="AA8" s="158" t="str">
        <f t="shared" si="3"/>
        <v>Farrar</v>
      </c>
    </row>
    <row r="9" spans="2:27">
      <c r="B9" s="158" t="s">
        <v>121</v>
      </c>
      <c r="C9" s="158" t="s">
        <v>70</v>
      </c>
      <c r="D9" s="159">
        <f t="shared" si="0"/>
        <v>0</v>
      </c>
      <c r="E9" s="159">
        <f t="shared" si="0"/>
        <v>19</v>
      </c>
      <c r="F9" s="159">
        <f t="shared" si="0"/>
        <v>0</v>
      </c>
      <c r="G9" s="159">
        <f t="shared" si="0"/>
        <v>8</v>
      </c>
      <c r="H9" s="159">
        <f t="shared" si="0"/>
        <v>0</v>
      </c>
      <c r="I9" s="159">
        <f t="shared" si="0"/>
        <v>0</v>
      </c>
      <c r="J9" s="159">
        <f t="shared" si="0"/>
        <v>0</v>
      </c>
      <c r="K9" s="159">
        <f t="shared" si="0"/>
        <v>0</v>
      </c>
      <c r="L9" s="159">
        <f t="shared" si="0"/>
        <v>0</v>
      </c>
      <c r="M9" s="159">
        <f t="shared" si="0"/>
        <v>0</v>
      </c>
      <c r="N9" s="159">
        <f t="shared" si="1"/>
        <v>0</v>
      </c>
      <c r="O9" s="159">
        <f t="shared" si="1"/>
        <v>0</v>
      </c>
      <c r="P9" s="159">
        <f t="shared" si="1"/>
        <v>0</v>
      </c>
      <c r="Q9" s="159">
        <f t="shared" si="1"/>
        <v>0</v>
      </c>
      <c r="R9" s="159">
        <f t="shared" si="1"/>
        <v>0</v>
      </c>
      <c r="S9" s="159">
        <f t="shared" si="1"/>
        <v>0</v>
      </c>
      <c r="T9" s="159">
        <f t="shared" si="1"/>
        <v>0</v>
      </c>
      <c r="U9" s="159">
        <f t="shared" si="1"/>
        <v>0</v>
      </c>
      <c r="V9" s="159">
        <f t="shared" si="1"/>
        <v>0</v>
      </c>
      <c r="W9" s="159">
        <f t="shared" si="1"/>
        <v>0</v>
      </c>
      <c r="X9" s="159">
        <f t="shared" si="1"/>
        <v>0</v>
      </c>
      <c r="Y9" s="159">
        <f t="shared" si="1"/>
        <v>0</v>
      </c>
      <c r="Z9" s="164">
        <f t="shared" si="2"/>
        <v>27</v>
      </c>
      <c r="AA9" s="158" t="str">
        <f t="shared" si="3"/>
        <v>Gesink</v>
      </c>
    </row>
    <row r="10" spans="2:27">
      <c r="B10" s="158" t="s">
        <v>153</v>
      </c>
      <c r="C10" s="158" t="s">
        <v>100</v>
      </c>
      <c r="D10" s="159">
        <f t="shared" si="0"/>
        <v>0</v>
      </c>
      <c r="E10" s="159">
        <f t="shared" si="0"/>
        <v>0</v>
      </c>
      <c r="F10" s="159">
        <f t="shared" si="0"/>
        <v>28</v>
      </c>
      <c r="G10" s="159">
        <f t="shared" si="0"/>
        <v>1</v>
      </c>
      <c r="H10" s="159">
        <f t="shared" si="0"/>
        <v>28</v>
      </c>
      <c r="I10" s="159">
        <f t="shared" si="0"/>
        <v>34</v>
      </c>
      <c r="J10" s="159">
        <f t="shared" si="0"/>
        <v>30</v>
      </c>
      <c r="K10" s="159">
        <f t="shared" si="0"/>
        <v>4</v>
      </c>
      <c r="L10" s="159">
        <f t="shared" si="0"/>
        <v>4</v>
      </c>
      <c r="M10" s="159">
        <f t="shared" si="0"/>
        <v>4</v>
      </c>
      <c r="N10" s="159">
        <f t="shared" si="1"/>
        <v>4</v>
      </c>
      <c r="O10" s="159">
        <f t="shared" si="1"/>
        <v>4</v>
      </c>
      <c r="P10" s="159">
        <f t="shared" si="1"/>
        <v>23</v>
      </c>
      <c r="Q10" s="159">
        <f t="shared" si="1"/>
        <v>3</v>
      </c>
      <c r="R10" s="159">
        <f t="shared" si="1"/>
        <v>3</v>
      </c>
      <c r="S10" s="159">
        <f t="shared" si="1"/>
        <v>3</v>
      </c>
      <c r="T10" s="159">
        <f t="shared" si="1"/>
        <v>3</v>
      </c>
      <c r="U10" s="159">
        <f t="shared" si="1"/>
        <v>3</v>
      </c>
      <c r="V10" s="159">
        <f t="shared" si="1"/>
        <v>33</v>
      </c>
      <c r="W10" s="159">
        <f t="shared" si="1"/>
        <v>3</v>
      </c>
      <c r="X10" s="159">
        <f t="shared" si="1"/>
        <v>29</v>
      </c>
      <c r="Y10" s="159">
        <f t="shared" si="1"/>
        <v>5</v>
      </c>
      <c r="Z10" s="164">
        <f t="shared" si="2"/>
        <v>249</v>
      </c>
      <c r="AA10" s="158" t="str">
        <f t="shared" si="3"/>
        <v>Goss</v>
      </c>
    </row>
    <row r="11" spans="2:27">
      <c r="B11" s="158" t="s">
        <v>171</v>
      </c>
      <c r="C11" s="158" t="s">
        <v>99</v>
      </c>
      <c r="D11" s="159">
        <f t="shared" si="0"/>
        <v>0</v>
      </c>
      <c r="E11" s="159">
        <f t="shared" si="0"/>
        <v>0</v>
      </c>
      <c r="F11" s="159">
        <f t="shared" si="0"/>
        <v>30</v>
      </c>
      <c r="G11" s="159">
        <f t="shared" si="0"/>
        <v>0</v>
      </c>
      <c r="H11" s="159">
        <f t="shared" si="0"/>
        <v>38</v>
      </c>
      <c r="I11" s="159">
        <f t="shared" si="0"/>
        <v>38</v>
      </c>
      <c r="J11" s="159">
        <f t="shared" si="0"/>
        <v>33</v>
      </c>
      <c r="K11" s="159">
        <f t="shared" si="0"/>
        <v>3</v>
      </c>
      <c r="L11" s="159">
        <f t="shared" si="0"/>
        <v>3</v>
      </c>
      <c r="M11" s="159">
        <f t="shared" si="0"/>
        <v>3</v>
      </c>
      <c r="N11" s="159">
        <f t="shared" si="1"/>
        <v>3</v>
      </c>
      <c r="O11" s="159">
        <f t="shared" si="1"/>
        <v>3</v>
      </c>
      <c r="P11" s="159">
        <f t="shared" si="1"/>
        <v>3</v>
      </c>
      <c r="Q11" s="159">
        <f t="shared" si="1"/>
        <v>39</v>
      </c>
      <c r="R11" s="159">
        <f t="shared" si="1"/>
        <v>4</v>
      </c>
      <c r="S11" s="159">
        <f t="shared" si="1"/>
        <v>23</v>
      </c>
      <c r="T11" s="159">
        <f t="shared" si="1"/>
        <v>4</v>
      </c>
      <c r="U11" s="159">
        <f t="shared" si="1"/>
        <v>4</v>
      </c>
      <c r="V11" s="159">
        <f t="shared" si="1"/>
        <v>19</v>
      </c>
      <c r="W11" s="159">
        <f t="shared" si="1"/>
        <v>4</v>
      </c>
      <c r="X11" s="159">
        <f t="shared" si="1"/>
        <v>22</v>
      </c>
      <c r="Y11" s="159">
        <f t="shared" si="1"/>
        <v>7</v>
      </c>
      <c r="Z11" s="164">
        <f t="shared" si="2"/>
        <v>283</v>
      </c>
      <c r="AA11" s="158" t="str">
        <f t="shared" si="3"/>
        <v>Greipel</v>
      </c>
    </row>
    <row r="12" spans="2:27">
      <c r="B12" s="158" t="s">
        <v>156</v>
      </c>
      <c r="C12" s="158" t="s">
        <v>93</v>
      </c>
      <c r="D12" s="159">
        <f t="shared" si="0"/>
        <v>11</v>
      </c>
      <c r="E12" s="159">
        <f t="shared" si="0"/>
        <v>18</v>
      </c>
      <c r="F12" s="159">
        <f t="shared" si="0"/>
        <v>1</v>
      </c>
      <c r="G12" s="159">
        <f t="shared" si="0"/>
        <v>17</v>
      </c>
      <c r="H12" s="159">
        <f t="shared" si="0"/>
        <v>2</v>
      </c>
      <c r="I12" s="159">
        <f t="shared" si="0"/>
        <v>2</v>
      </c>
      <c r="J12" s="159">
        <f t="shared" si="0"/>
        <v>0</v>
      </c>
      <c r="K12" s="159">
        <f t="shared" si="0"/>
        <v>0</v>
      </c>
      <c r="L12" s="159">
        <f t="shared" si="0"/>
        <v>0</v>
      </c>
      <c r="M12" s="159">
        <f t="shared" si="0"/>
        <v>0</v>
      </c>
      <c r="N12" s="159">
        <f t="shared" si="1"/>
        <v>0</v>
      </c>
      <c r="O12" s="159">
        <f t="shared" si="1"/>
        <v>0</v>
      </c>
      <c r="P12" s="159">
        <f t="shared" si="1"/>
        <v>0</v>
      </c>
      <c r="Q12" s="159">
        <f t="shared" si="1"/>
        <v>0</v>
      </c>
      <c r="R12" s="159">
        <f t="shared" si="1"/>
        <v>0</v>
      </c>
      <c r="S12" s="159">
        <f t="shared" si="1"/>
        <v>0</v>
      </c>
      <c r="T12" s="159">
        <f t="shared" si="1"/>
        <v>0</v>
      </c>
      <c r="U12" s="159">
        <f t="shared" si="1"/>
        <v>0</v>
      </c>
      <c r="V12" s="159">
        <f t="shared" si="1"/>
        <v>0</v>
      </c>
      <c r="W12" s="159">
        <f t="shared" si="1"/>
        <v>0</v>
      </c>
      <c r="X12" s="159">
        <f t="shared" si="1"/>
        <v>0</v>
      </c>
      <c r="Y12" s="159">
        <f t="shared" si="1"/>
        <v>0</v>
      </c>
      <c r="Z12" s="164">
        <f t="shared" si="2"/>
        <v>51</v>
      </c>
      <c r="AA12" s="158" t="str">
        <f t="shared" si="3"/>
        <v>Hesjedal</v>
      </c>
    </row>
    <row r="13" spans="2:27">
      <c r="B13" s="158" t="s">
        <v>131</v>
      </c>
      <c r="C13" s="158" t="s">
        <v>132</v>
      </c>
      <c r="D13" s="159">
        <f t="shared" si="0"/>
        <v>0</v>
      </c>
      <c r="E13" s="159">
        <f t="shared" si="0"/>
        <v>0</v>
      </c>
      <c r="F13" s="159">
        <f t="shared" si="0"/>
        <v>0</v>
      </c>
      <c r="G13" s="159">
        <f t="shared" si="0"/>
        <v>0</v>
      </c>
      <c r="H13" s="159">
        <f t="shared" si="0"/>
        <v>0</v>
      </c>
      <c r="I13" s="159">
        <f t="shared" si="0"/>
        <v>0</v>
      </c>
      <c r="J13" s="159">
        <f t="shared" si="0"/>
        <v>0</v>
      </c>
      <c r="K13" s="159">
        <f t="shared" si="0"/>
        <v>0</v>
      </c>
      <c r="L13" s="159">
        <f t="shared" si="0"/>
        <v>0</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0</v>
      </c>
      <c r="X13" s="159">
        <f t="shared" si="1"/>
        <v>0</v>
      </c>
      <c r="Y13" s="159">
        <f t="shared" si="1"/>
        <v>0</v>
      </c>
      <c r="Z13" s="164">
        <f t="shared" si="2"/>
        <v>0</v>
      </c>
      <c r="AA13" s="158" t="str">
        <f t="shared" si="3"/>
        <v>Kittel</v>
      </c>
    </row>
    <row r="14" spans="2:27">
      <c r="B14" s="158" t="s">
        <v>144</v>
      </c>
      <c r="C14" s="158" t="s">
        <v>82</v>
      </c>
      <c r="D14" s="159">
        <f t="shared" ref="D14:M20" si="4">INDEX(scorematrix,MATCH($C14,renners,0),MATCH(D$3,etappes,0))</f>
        <v>0</v>
      </c>
      <c r="E14" s="159">
        <f t="shared" si="4"/>
        <v>0</v>
      </c>
      <c r="F14" s="159">
        <f t="shared" si="4"/>
        <v>0</v>
      </c>
      <c r="G14" s="159">
        <f t="shared" si="4"/>
        <v>0</v>
      </c>
      <c r="H14" s="159">
        <f t="shared" si="4"/>
        <v>0</v>
      </c>
      <c r="I14" s="159">
        <f t="shared" si="4"/>
        <v>0</v>
      </c>
      <c r="J14" s="159">
        <f t="shared" si="4"/>
        <v>0</v>
      </c>
      <c r="K14" s="159">
        <f t="shared" si="4"/>
        <v>0</v>
      </c>
      <c r="L14" s="159">
        <f t="shared" si="4"/>
        <v>0</v>
      </c>
      <c r="M14" s="159">
        <f t="shared" si="4"/>
        <v>14</v>
      </c>
      <c r="N14" s="159">
        <f t="shared" ref="N14:Y20" si="5">INDEX(scorematrix,MATCH($C14,renners,0),MATCH(N$3,etappes,0))</f>
        <v>0</v>
      </c>
      <c r="O14" s="159">
        <f t="shared" si="5"/>
        <v>0</v>
      </c>
      <c r="P14" s="159">
        <f t="shared" si="5"/>
        <v>0</v>
      </c>
      <c r="Q14" s="159">
        <f t="shared" si="5"/>
        <v>0</v>
      </c>
      <c r="R14" s="159">
        <f t="shared" si="5"/>
        <v>0</v>
      </c>
      <c r="S14" s="159">
        <f t="shared" si="5"/>
        <v>0</v>
      </c>
      <c r="T14" s="159">
        <f t="shared" si="5"/>
        <v>0</v>
      </c>
      <c r="U14" s="159">
        <f t="shared" si="5"/>
        <v>0</v>
      </c>
      <c r="V14" s="159">
        <f t="shared" si="5"/>
        <v>0</v>
      </c>
      <c r="W14" s="159">
        <f t="shared" si="5"/>
        <v>0</v>
      </c>
      <c r="X14" s="159">
        <f t="shared" si="5"/>
        <v>0</v>
      </c>
      <c r="Y14" s="159">
        <f t="shared" si="5"/>
        <v>0</v>
      </c>
      <c r="Z14" s="164">
        <f t="shared" si="2"/>
        <v>14</v>
      </c>
      <c r="AA14" s="158" t="str">
        <f t="shared" si="3"/>
        <v>Martin</v>
      </c>
    </row>
    <row r="15" spans="2:27">
      <c r="B15" s="158" t="s">
        <v>180</v>
      </c>
      <c r="C15" s="158" t="s">
        <v>170</v>
      </c>
      <c r="D15" s="159">
        <f t="shared" si="4"/>
        <v>12</v>
      </c>
      <c r="E15" s="159">
        <f t="shared" si="4"/>
        <v>13</v>
      </c>
      <c r="F15" s="159">
        <f t="shared" si="4"/>
        <v>2</v>
      </c>
      <c r="G15" s="159">
        <f t="shared" si="4"/>
        <v>19</v>
      </c>
      <c r="H15" s="159">
        <f t="shared" si="4"/>
        <v>3</v>
      </c>
      <c r="I15" s="159">
        <f t="shared" si="4"/>
        <v>3</v>
      </c>
      <c r="J15" s="159">
        <f t="shared" si="4"/>
        <v>14</v>
      </c>
      <c r="K15" s="159">
        <f t="shared" si="4"/>
        <v>33</v>
      </c>
      <c r="L15" s="159">
        <f t="shared" si="4"/>
        <v>30</v>
      </c>
      <c r="M15" s="159">
        <f t="shared" si="4"/>
        <v>25</v>
      </c>
      <c r="N15" s="159">
        <f t="shared" si="5"/>
        <v>18</v>
      </c>
      <c r="O15" s="159">
        <f t="shared" si="5"/>
        <v>30</v>
      </c>
      <c r="P15" s="159">
        <f t="shared" si="5"/>
        <v>17</v>
      </c>
      <c r="Q15" s="159">
        <f t="shared" si="5"/>
        <v>23</v>
      </c>
      <c r="R15" s="159">
        <f t="shared" si="5"/>
        <v>17</v>
      </c>
      <c r="S15" s="159">
        <f t="shared" si="5"/>
        <v>8</v>
      </c>
      <c r="T15" s="159">
        <f t="shared" si="5"/>
        <v>23</v>
      </c>
      <c r="U15" s="159">
        <f t="shared" si="5"/>
        <v>27</v>
      </c>
      <c r="V15" s="159">
        <f t="shared" si="5"/>
        <v>8</v>
      </c>
      <c r="W15" s="159">
        <f t="shared" si="5"/>
        <v>18</v>
      </c>
      <c r="X15" s="159">
        <f t="shared" si="5"/>
        <v>8</v>
      </c>
      <c r="Y15" s="159">
        <f t="shared" si="5"/>
        <v>52</v>
      </c>
      <c r="Z15" s="164">
        <f t="shared" si="2"/>
        <v>403</v>
      </c>
      <c r="AA15" s="158" t="str">
        <f t="shared" si="3"/>
        <v>Nibali</v>
      </c>
    </row>
    <row r="16" spans="2:27">
      <c r="B16" s="158" t="s">
        <v>129</v>
      </c>
      <c r="C16" s="158" t="s">
        <v>130</v>
      </c>
      <c r="D16" s="159">
        <f t="shared" si="4"/>
        <v>0</v>
      </c>
      <c r="E16" s="159">
        <f t="shared" si="4"/>
        <v>43</v>
      </c>
      <c r="F16" s="159">
        <f t="shared" si="4"/>
        <v>27</v>
      </c>
      <c r="G16" s="159">
        <f t="shared" si="4"/>
        <v>43</v>
      </c>
      <c r="H16" s="159">
        <f t="shared" si="4"/>
        <v>30</v>
      </c>
      <c r="I16" s="159">
        <f t="shared" si="4"/>
        <v>8</v>
      </c>
      <c r="J16" s="159">
        <f t="shared" si="4"/>
        <v>46</v>
      </c>
      <c r="K16" s="159">
        <f t="shared" si="4"/>
        <v>5</v>
      </c>
      <c r="L16" s="159">
        <f t="shared" si="4"/>
        <v>5</v>
      </c>
      <c r="M16" s="159">
        <f t="shared" si="4"/>
        <v>5</v>
      </c>
      <c r="N16" s="159">
        <f t="shared" si="5"/>
        <v>5</v>
      </c>
      <c r="O16" s="159">
        <f t="shared" si="5"/>
        <v>5</v>
      </c>
      <c r="P16" s="159">
        <f t="shared" si="5"/>
        <v>25</v>
      </c>
      <c r="Q16" s="159">
        <f t="shared" si="5"/>
        <v>35</v>
      </c>
      <c r="R16" s="159">
        <f t="shared" si="5"/>
        <v>35</v>
      </c>
      <c r="S16" s="159">
        <f t="shared" si="5"/>
        <v>22</v>
      </c>
      <c r="T16" s="159">
        <f t="shared" si="5"/>
        <v>5</v>
      </c>
      <c r="U16" s="159">
        <f t="shared" si="5"/>
        <v>5</v>
      </c>
      <c r="V16" s="159">
        <f t="shared" si="5"/>
        <v>31</v>
      </c>
      <c r="W16" s="159">
        <f t="shared" si="5"/>
        <v>5</v>
      </c>
      <c r="X16" s="159">
        <f t="shared" si="5"/>
        <v>35</v>
      </c>
      <c r="Y16" s="159">
        <f t="shared" si="5"/>
        <v>10</v>
      </c>
      <c r="Z16" s="164">
        <f t="shared" si="2"/>
        <v>430</v>
      </c>
      <c r="AA16" s="158" t="str">
        <f t="shared" si="3"/>
        <v>Sagan</v>
      </c>
    </row>
    <row r="17" spans="1:27" s="218" customFormat="1">
      <c r="B17" s="158" t="s">
        <v>157</v>
      </c>
      <c r="C17" s="158" t="s">
        <v>68</v>
      </c>
      <c r="D17" s="159">
        <f t="shared" si="4"/>
        <v>0</v>
      </c>
      <c r="E17" s="159">
        <f t="shared" si="4"/>
        <v>0</v>
      </c>
      <c r="F17" s="159">
        <f t="shared" si="4"/>
        <v>0</v>
      </c>
      <c r="G17" s="159">
        <f t="shared" si="4"/>
        <v>18</v>
      </c>
      <c r="H17" s="159">
        <f t="shared" si="4"/>
        <v>0</v>
      </c>
      <c r="I17" s="159">
        <f t="shared" si="4"/>
        <v>9</v>
      </c>
      <c r="J17" s="159">
        <f t="shared" si="4"/>
        <v>7</v>
      </c>
      <c r="K17" s="159">
        <f t="shared" si="4"/>
        <v>10</v>
      </c>
      <c r="L17" s="159">
        <f t="shared" si="4"/>
        <v>0</v>
      </c>
      <c r="M17" s="159">
        <f t="shared" si="4"/>
        <v>0</v>
      </c>
      <c r="N17" s="159">
        <f t="shared" si="5"/>
        <v>0</v>
      </c>
      <c r="O17" s="159">
        <f t="shared" si="5"/>
        <v>0</v>
      </c>
      <c r="P17" s="159">
        <f t="shared" si="5"/>
        <v>0</v>
      </c>
      <c r="Q17" s="159">
        <f t="shared" si="5"/>
        <v>0</v>
      </c>
      <c r="R17" s="159">
        <f t="shared" si="5"/>
        <v>0</v>
      </c>
      <c r="S17" s="159">
        <f t="shared" si="5"/>
        <v>0</v>
      </c>
      <c r="T17" s="159">
        <f t="shared" si="5"/>
        <v>0</v>
      </c>
      <c r="U17" s="159">
        <f t="shared" si="5"/>
        <v>0</v>
      </c>
      <c r="V17" s="159">
        <f t="shared" si="5"/>
        <v>0</v>
      </c>
      <c r="W17" s="159">
        <f t="shared" si="5"/>
        <v>0</v>
      </c>
      <c r="X17" s="159">
        <f t="shared" si="5"/>
        <v>0</v>
      </c>
      <c r="Y17" s="159">
        <f t="shared" si="5"/>
        <v>0</v>
      </c>
      <c r="Z17" s="164">
        <f t="shared" si="2"/>
        <v>44</v>
      </c>
      <c r="AA17" s="158" t="str">
        <f t="shared" si="3"/>
        <v>Sanchez</v>
      </c>
    </row>
    <row r="18" spans="1:27" s="218" customFormat="1">
      <c r="B18" s="158" t="s">
        <v>158</v>
      </c>
      <c r="C18" s="158" t="s">
        <v>159</v>
      </c>
      <c r="D18" s="159">
        <f t="shared" si="4"/>
        <v>0</v>
      </c>
      <c r="E18" s="159">
        <f t="shared" si="4"/>
        <v>0</v>
      </c>
      <c r="F18" s="159">
        <f t="shared" si="4"/>
        <v>0</v>
      </c>
      <c r="G18" s="159">
        <f t="shared" si="4"/>
        <v>6</v>
      </c>
      <c r="H18" s="159">
        <f t="shared" si="4"/>
        <v>0</v>
      </c>
      <c r="I18" s="159">
        <f t="shared" si="4"/>
        <v>0</v>
      </c>
      <c r="J18" s="159">
        <f t="shared" si="4"/>
        <v>0</v>
      </c>
      <c r="K18" s="159">
        <f t="shared" si="4"/>
        <v>14</v>
      </c>
      <c r="L18" s="159">
        <f t="shared" si="4"/>
        <v>16</v>
      </c>
      <c r="M18" s="159">
        <f t="shared" si="4"/>
        <v>0</v>
      </c>
      <c r="N18" s="159">
        <f t="shared" si="5"/>
        <v>0</v>
      </c>
      <c r="O18" s="159">
        <f t="shared" si="5"/>
        <v>16</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52</v>
      </c>
      <c r="AA18" s="158" t="str">
        <f t="shared" si="3"/>
        <v>Schleck</v>
      </c>
    </row>
    <row r="19" spans="1:27">
      <c r="B19" s="158" t="s">
        <v>160</v>
      </c>
      <c r="C19" s="158" t="s">
        <v>161</v>
      </c>
      <c r="D19" s="159">
        <f t="shared" si="4"/>
        <v>0</v>
      </c>
      <c r="E19" s="159">
        <f t="shared" si="4"/>
        <v>15</v>
      </c>
      <c r="F19" s="159">
        <f t="shared" si="4"/>
        <v>0</v>
      </c>
      <c r="G19" s="159">
        <f t="shared" si="4"/>
        <v>0</v>
      </c>
      <c r="H19" s="159">
        <f t="shared" si="4"/>
        <v>0</v>
      </c>
      <c r="I19" s="159">
        <f t="shared" si="4"/>
        <v>0</v>
      </c>
      <c r="J19" s="159">
        <f t="shared" si="4"/>
        <v>0</v>
      </c>
      <c r="K19" s="159">
        <f t="shared" si="4"/>
        <v>0</v>
      </c>
      <c r="L19" s="159">
        <f t="shared" si="4"/>
        <v>23</v>
      </c>
      <c r="M19" s="159">
        <f t="shared" si="4"/>
        <v>2</v>
      </c>
      <c r="N19" s="159">
        <f t="shared" si="5"/>
        <v>20</v>
      </c>
      <c r="O19" s="159">
        <f t="shared" si="5"/>
        <v>30</v>
      </c>
      <c r="P19" s="159">
        <f t="shared" si="5"/>
        <v>14</v>
      </c>
      <c r="Q19" s="159">
        <f t="shared" si="5"/>
        <v>15</v>
      </c>
      <c r="R19" s="159">
        <f t="shared" si="5"/>
        <v>6</v>
      </c>
      <c r="S19" s="159">
        <f t="shared" si="5"/>
        <v>6</v>
      </c>
      <c r="T19" s="159">
        <f t="shared" si="5"/>
        <v>17</v>
      </c>
      <c r="U19" s="159">
        <f t="shared" si="5"/>
        <v>27</v>
      </c>
      <c r="V19" s="159">
        <f t="shared" si="5"/>
        <v>7</v>
      </c>
      <c r="W19" s="159">
        <f t="shared" si="5"/>
        <v>7</v>
      </c>
      <c r="X19" s="159">
        <f t="shared" si="5"/>
        <v>7</v>
      </c>
      <c r="Y19" s="159">
        <f t="shared" si="5"/>
        <v>48</v>
      </c>
      <c r="Z19" s="164">
        <f t="shared" si="2"/>
        <v>244</v>
      </c>
      <c r="AA19" s="158" t="str">
        <f>C19</f>
        <v>Van den Broeck</v>
      </c>
    </row>
    <row r="20" spans="1:27">
      <c r="B20" s="158" t="s">
        <v>71</v>
      </c>
      <c r="C20" s="158" t="s">
        <v>72</v>
      </c>
      <c r="D20" s="159">
        <f t="shared" si="4"/>
        <v>43</v>
      </c>
      <c r="E20" s="159">
        <f t="shared" si="4"/>
        <v>19</v>
      </c>
      <c r="F20" s="159">
        <f t="shared" si="4"/>
        <v>9</v>
      </c>
      <c r="G20" s="159">
        <f t="shared" si="4"/>
        <v>9</v>
      </c>
      <c r="H20" s="159">
        <f t="shared" si="4"/>
        <v>9</v>
      </c>
      <c r="I20" s="159">
        <f t="shared" si="4"/>
        <v>17</v>
      </c>
      <c r="J20" s="159">
        <f t="shared" si="4"/>
        <v>9</v>
      </c>
      <c r="K20" s="159">
        <f t="shared" si="4"/>
        <v>39</v>
      </c>
      <c r="L20" s="159">
        <f t="shared" si="4"/>
        <v>35</v>
      </c>
      <c r="M20" s="159">
        <f t="shared" si="4"/>
        <v>46</v>
      </c>
      <c r="N20" s="159">
        <f t="shared" si="5"/>
        <v>23</v>
      </c>
      <c r="O20" s="159">
        <f t="shared" si="5"/>
        <v>30</v>
      </c>
      <c r="P20" s="159">
        <f t="shared" si="5"/>
        <v>24</v>
      </c>
      <c r="Q20" s="159">
        <f t="shared" si="5"/>
        <v>24</v>
      </c>
      <c r="R20" s="159">
        <f t="shared" si="5"/>
        <v>21</v>
      </c>
      <c r="S20" s="159">
        <f t="shared" si="5"/>
        <v>10</v>
      </c>
      <c r="T20" s="159">
        <f t="shared" si="5"/>
        <v>24</v>
      </c>
      <c r="U20" s="159">
        <f t="shared" si="5"/>
        <v>36</v>
      </c>
      <c r="V20" s="159">
        <f t="shared" si="5"/>
        <v>17</v>
      </c>
      <c r="W20" s="159">
        <f t="shared" si="5"/>
        <v>45</v>
      </c>
      <c r="X20" s="159">
        <f t="shared" si="5"/>
        <v>10</v>
      </c>
      <c r="Y20" s="159">
        <f t="shared" si="5"/>
        <v>70</v>
      </c>
      <c r="Z20" s="164">
        <f t="shared" si="2"/>
        <v>569</v>
      </c>
      <c r="AA20" s="158" t="str">
        <f>C20</f>
        <v>Wiggins</v>
      </c>
    </row>
    <row r="21" spans="1:27" s="219" customFormat="1">
      <c r="C21" s="220"/>
      <c r="D21" s="221"/>
      <c r="E21" s="221"/>
      <c r="F21" s="221"/>
      <c r="G21" s="221"/>
      <c r="H21" s="221"/>
      <c r="I21" s="221"/>
      <c r="J21" s="221"/>
      <c r="K21" s="221"/>
      <c r="L21" s="221"/>
      <c r="M21" s="221"/>
      <c r="N21" s="221"/>
      <c r="O21" s="221"/>
      <c r="P21" s="221"/>
      <c r="Q21" s="221"/>
      <c r="R21" s="221"/>
      <c r="S21" s="221"/>
      <c r="T21" s="221">
        <f>T26</f>
        <v>40</v>
      </c>
      <c r="U21" s="221"/>
      <c r="V21" s="221"/>
      <c r="W21" s="221"/>
      <c r="X21" s="221"/>
      <c r="Y21" s="221"/>
      <c r="Z21" s="164">
        <f t="shared" si="2"/>
        <v>40</v>
      </c>
    </row>
    <row r="22" spans="1:27" s="162" customFormat="1">
      <c r="C22" s="177"/>
      <c r="D22" s="223">
        <f t="shared" ref="D22:Z22" si="6">SUM(D4:D21)</f>
        <v>158</v>
      </c>
      <c r="E22" s="223">
        <f t="shared" ref="E22" si="7">SUM(E4:E21)</f>
        <v>216</v>
      </c>
      <c r="F22" s="223">
        <f>SUM(F4:F21)</f>
        <v>182</v>
      </c>
      <c r="G22" s="223">
        <f t="shared" si="6"/>
        <v>224</v>
      </c>
      <c r="H22" s="223">
        <f t="shared" si="6"/>
        <v>150</v>
      </c>
      <c r="I22" s="223">
        <f t="shared" si="6"/>
        <v>155</v>
      </c>
      <c r="J22" s="223">
        <f t="shared" si="6"/>
        <v>168</v>
      </c>
      <c r="K22" s="223">
        <f t="shared" si="6"/>
        <v>159</v>
      </c>
      <c r="L22" s="223">
        <f t="shared" si="6"/>
        <v>160</v>
      </c>
      <c r="M22" s="223">
        <f t="shared" si="6"/>
        <v>159</v>
      </c>
      <c r="N22" s="223">
        <f t="shared" si="6"/>
        <v>98</v>
      </c>
      <c r="O22" s="223">
        <f t="shared" si="6"/>
        <v>142</v>
      </c>
      <c r="P22" s="223">
        <f t="shared" si="6"/>
        <v>133</v>
      </c>
      <c r="Q22" s="223">
        <f t="shared" si="6"/>
        <v>185</v>
      </c>
      <c r="R22" s="223">
        <f t="shared" si="6"/>
        <v>106</v>
      </c>
      <c r="S22" s="223">
        <f t="shared" si="6"/>
        <v>100</v>
      </c>
      <c r="T22" s="223">
        <f t="shared" si="6"/>
        <v>123</v>
      </c>
      <c r="U22" s="223">
        <f t="shared" si="6"/>
        <v>118</v>
      </c>
      <c r="V22" s="223">
        <f t="shared" si="6"/>
        <v>191</v>
      </c>
      <c r="W22" s="223">
        <f t="shared" si="6"/>
        <v>89</v>
      </c>
      <c r="X22" s="223">
        <f t="shared" si="6"/>
        <v>185</v>
      </c>
      <c r="Y22" s="223">
        <f t="shared" si="6"/>
        <v>234</v>
      </c>
      <c r="Z22" s="224">
        <f t="shared" si="6"/>
        <v>3435</v>
      </c>
    </row>
    <row r="23" spans="1:27"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1:27" s="230" customFormat="1">
      <c r="B24" s="158" t="s">
        <v>96</v>
      </c>
      <c r="C24" s="158" t="s">
        <v>97</v>
      </c>
      <c r="D24" s="295">
        <f t="shared" ref="D24:Y26" si="8">INDEX(scorematrix,MATCH($C24,renners,0),MATCH(D$3,etappes,0))</f>
        <v>0</v>
      </c>
      <c r="E24" s="295">
        <f t="shared" si="8"/>
        <v>22</v>
      </c>
      <c r="F24" s="295">
        <f t="shared" si="8"/>
        <v>0</v>
      </c>
      <c r="G24" s="295">
        <f t="shared" si="8"/>
        <v>17</v>
      </c>
      <c r="H24" s="295">
        <f t="shared" si="8"/>
        <v>0</v>
      </c>
      <c r="I24" s="295">
        <f t="shared" si="8"/>
        <v>15</v>
      </c>
      <c r="J24" s="295">
        <f t="shared" si="8"/>
        <v>0</v>
      </c>
      <c r="K24" s="295">
        <f t="shared" si="8"/>
        <v>0</v>
      </c>
      <c r="L24" s="297">
        <f t="shared" si="8"/>
        <v>0</v>
      </c>
      <c r="M24" s="297">
        <f t="shared" si="8"/>
        <v>0</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0</v>
      </c>
      <c r="X24" s="295">
        <f t="shared" si="8"/>
        <v>0</v>
      </c>
      <c r="Y24" s="295">
        <f t="shared" si="8"/>
        <v>0</v>
      </c>
      <c r="Z24" s="229">
        <f>SUM(D24:Y24)</f>
        <v>54</v>
      </c>
    </row>
    <row r="25" spans="1:27" s="230" customFormat="1">
      <c r="B25" s="158" t="s">
        <v>134</v>
      </c>
      <c r="C25" s="158" t="s">
        <v>87</v>
      </c>
      <c r="D25" s="295">
        <f t="shared" si="8"/>
        <v>0</v>
      </c>
      <c r="E25" s="295">
        <f t="shared" si="8"/>
        <v>0</v>
      </c>
      <c r="F25" s="295">
        <f t="shared" si="8"/>
        <v>15</v>
      </c>
      <c r="G25" s="295">
        <f t="shared" si="8"/>
        <v>0</v>
      </c>
      <c r="H25" s="295">
        <f t="shared" si="8"/>
        <v>0</v>
      </c>
      <c r="I25" s="295">
        <f t="shared" si="8"/>
        <v>0</v>
      </c>
      <c r="J25" s="295">
        <f t="shared" si="8"/>
        <v>0</v>
      </c>
      <c r="K25" s="295">
        <f t="shared" si="8"/>
        <v>0</v>
      </c>
      <c r="L25" s="297">
        <f t="shared" si="8"/>
        <v>0</v>
      </c>
      <c r="M25" s="297">
        <f t="shared" si="8"/>
        <v>0</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29">
        <f>SUM(D25:Y25)</f>
        <v>15</v>
      </c>
    </row>
    <row r="26" spans="1:27" s="230" customFormat="1">
      <c r="B26" s="158" t="s">
        <v>200</v>
      </c>
      <c r="C26" s="158" t="s">
        <v>89</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5">
        <f t="shared" si="8"/>
        <v>0</v>
      </c>
      <c r="N26" s="295">
        <f t="shared" si="8"/>
        <v>40</v>
      </c>
      <c r="O26" s="295">
        <f t="shared" si="8"/>
        <v>0</v>
      </c>
      <c r="P26" s="295">
        <f t="shared" si="8"/>
        <v>0</v>
      </c>
      <c r="Q26" s="295">
        <f t="shared" si="8"/>
        <v>0</v>
      </c>
      <c r="R26" s="295">
        <f t="shared" si="8"/>
        <v>2</v>
      </c>
      <c r="S26" s="295">
        <f t="shared" si="8"/>
        <v>27</v>
      </c>
      <c r="T26" s="296">
        <f t="shared" si="8"/>
        <v>40</v>
      </c>
      <c r="U26" s="295">
        <f t="shared" si="8"/>
        <v>5</v>
      </c>
      <c r="V26" s="295">
        <f t="shared" si="8"/>
        <v>5</v>
      </c>
      <c r="W26" s="295">
        <f t="shared" si="8"/>
        <v>5</v>
      </c>
      <c r="X26" s="295">
        <f t="shared" si="8"/>
        <v>5</v>
      </c>
      <c r="Y26" s="295">
        <f t="shared" si="8"/>
        <v>10</v>
      </c>
      <c r="Z26" s="229">
        <f>SUM(D26:Y26)</f>
        <v>139</v>
      </c>
    </row>
    <row r="27" spans="1:27" s="225" customFormat="1">
      <c r="D27" s="194"/>
      <c r="E27" s="194"/>
      <c r="F27" s="194"/>
      <c r="G27" s="226"/>
      <c r="H27" s="194"/>
      <c r="I27" s="194"/>
      <c r="J27" s="194"/>
      <c r="K27" s="194"/>
      <c r="L27" s="194"/>
      <c r="M27" s="194"/>
      <c r="N27" s="194"/>
      <c r="O27" s="194"/>
      <c r="Z27" s="231"/>
    </row>
    <row r="28" spans="1:27" s="225" customFormat="1">
      <c r="B28" s="232"/>
      <c r="C28" s="232"/>
      <c r="D28" s="194"/>
      <c r="E28" s="194"/>
      <c r="F28" s="194"/>
      <c r="G28" s="226"/>
      <c r="H28" s="194"/>
      <c r="I28" s="194"/>
      <c r="J28" s="194"/>
      <c r="K28" s="194"/>
      <c r="L28" s="194"/>
      <c r="M28" s="194"/>
      <c r="N28" s="194"/>
      <c r="O28" s="194"/>
      <c r="Z28" s="231"/>
    </row>
    <row r="29" spans="1:27" s="225" customFormat="1">
      <c r="C29" s="232"/>
      <c r="D29" s="194"/>
      <c r="E29" s="194"/>
      <c r="F29" s="194"/>
      <c r="G29" s="226"/>
      <c r="H29" s="194"/>
      <c r="I29" s="194"/>
      <c r="J29" s="194"/>
      <c r="K29" s="194"/>
      <c r="L29" s="194"/>
      <c r="M29" s="194"/>
      <c r="N29" s="194"/>
      <c r="O29" s="194"/>
      <c r="Z29" s="231"/>
    </row>
    <row r="30" spans="1:27" s="225" customFormat="1">
      <c r="C30" s="266"/>
      <c r="D30" s="194"/>
      <c r="E30" s="194"/>
      <c r="F30" s="194"/>
      <c r="G30" s="226"/>
      <c r="H30" s="194"/>
      <c r="I30" s="194"/>
      <c r="J30" s="194"/>
      <c r="K30" s="194"/>
      <c r="L30" s="194"/>
      <c r="M30" s="194"/>
      <c r="N30" s="194"/>
      <c r="O30" s="194"/>
      <c r="Z30" s="231"/>
    </row>
    <row r="31" spans="1:27" s="225" customFormat="1">
      <c r="C31" s="267"/>
      <c r="D31" s="194"/>
      <c r="E31" s="194"/>
      <c r="F31" s="194"/>
      <c r="G31" s="226"/>
      <c r="H31" s="194"/>
      <c r="I31" s="194"/>
      <c r="J31" s="194"/>
      <c r="K31" s="194"/>
      <c r="L31" s="194"/>
      <c r="M31" s="194"/>
      <c r="N31" s="194"/>
      <c r="O31" s="194"/>
      <c r="Z31" s="231"/>
    </row>
    <row r="32" spans="1:27" s="234" customFormat="1">
      <c r="A32" s="225"/>
      <c r="B32" s="225"/>
      <c r="C32" s="268"/>
      <c r="D32" s="194"/>
      <c r="E32" s="235"/>
      <c r="F32" s="235"/>
      <c r="G32" s="236"/>
      <c r="H32" s="190"/>
      <c r="I32" s="190"/>
      <c r="J32" s="190"/>
      <c r="K32" s="190"/>
      <c r="L32" s="190"/>
      <c r="M32" s="190"/>
      <c r="N32" s="190"/>
      <c r="O32" s="190"/>
      <c r="P32" s="237"/>
      <c r="Z32" s="180"/>
    </row>
    <row r="33" spans="1:26" s="234" customFormat="1">
      <c r="A33" s="225"/>
      <c r="B33" s="225"/>
      <c r="C33" s="269"/>
      <c r="D33" s="194"/>
      <c r="E33" s="235"/>
      <c r="F33" s="235"/>
      <c r="G33" s="236"/>
      <c r="H33" s="190"/>
      <c r="I33" s="190"/>
      <c r="J33" s="190"/>
      <c r="K33" s="190"/>
      <c r="L33" s="190"/>
      <c r="M33" s="190"/>
      <c r="N33" s="190"/>
      <c r="O33" s="190"/>
      <c r="P33" s="237"/>
      <c r="Z33" s="180"/>
    </row>
    <row r="34" spans="1:26" s="234" customFormat="1">
      <c r="A34" s="225"/>
      <c r="B34" s="225"/>
      <c r="C34" s="269"/>
      <c r="D34" s="194"/>
      <c r="E34" s="235"/>
      <c r="F34" s="235"/>
      <c r="G34" s="236"/>
      <c r="H34" s="190"/>
      <c r="I34" s="190"/>
      <c r="J34" s="190"/>
      <c r="K34" s="190"/>
      <c r="L34" s="190"/>
      <c r="M34" s="190"/>
      <c r="N34" s="190"/>
      <c r="O34" s="190"/>
      <c r="P34" s="237"/>
      <c r="Z34" s="180"/>
    </row>
    <row r="35" spans="1:26" s="234" customFormat="1">
      <c r="A35" s="225"/>
      <c r="B35" s="225"/>
      <c r="C35" s="225"/>
      <c r="D35" s="194"/>
      <c r="E35" s="235"/>
      <c r="F35" s="235"/>
      <c r="G35" s="236"/>
      <c r="H35" s="190"/>
      <c r="I35" s="190"/>
      <c r="J35" s="190"/>
      <c r="K35" s="190"/>
      <c r="L35" s="190"/>
      <c r="M35" s="190"/>
      <c r="N35" s="190"/>
      <c r="O35" s="190"/>
      <c r="P35" s="237"/>
      <c r="Z35" s="180"/>
    </row>
    <row r="36" spans="1:26" s="234" customFormat="1">
      <c r="C36" s="255"/>
      <c r="D36" s="235"/>
      <c r="E36" s="235"/>
      <c r="F36" s="235"/>
      <c r="G36" s="236"/>
      <c r="H36" s="190"/>
      <c r="I36" s="190"/>
      <c r="J36" s="190"/>
      <c r="K36" s="190"/>
      <c r="L36" s="190"/>
      <c r="M36" s="190"/>
      <c r="N36" s="190"/>
      <c r="O36" s="190"/>
      <c r="P36" s="237"/>
      <c r="Z36" s="180"/>
    </row>
    <row r="37" spans="1:26" s="234" customFormat="1">
      <c r="C37" s="255"/>
      <c r="D37" s="235"/>
      <c r="E37" s="235"/>
      <c r="F37" s="235"/>
      <c r="G37" s="236"/>
      <c r="H37" s="190"/>
      <c r="I37" s="190"/>
      <c r="J37" s="190"/>
      <c r="K37" s="190"/>
      <c r="L37" s="190"/>
      <c r="M37" s="190"/>
      <c r="N37" s="190"/>
      <c r="O37" s="190"/>
      <c r="P37" s="237"/>
      <c r="Z37" s="180"/>
    </row>
    <row r="38" spans="1:26" s="234" customFormat="1">
      <c r="C38" s="255"/>
      <c r="D38" s="235"/>
      <c r="E38" s="235"/>
      <c r="F38" s="235"/>
      <c r="G38" s="236"/>
      <c r="H38" s="190"/>
      <c r="I38" s="190"/>
      <c r="J38" s="190"/>
      <c r="K38" s="190"/>
      <c r="L38" s="190"/>
      <c r="M38" s="190"/>
      <c r="N38" s="190"/>
      <c r="O38" s="190"/>
      <c r="P38" s="237"/>
      <c r="Z38" s="180"/>
    </row>
    <row r="39" spans="1:26" s="234" customFormat="1">
      <c r="C39" s="255"/>
      <c r="D39" s="235"/>
      <c r="E39" s="235"/>
      <c r="F39" s="235"/>
      <c r="G39" s="236"/>
      <c r="H39" s="190"/>
      <c r="I39" s="190"/>
      <c r="J39" s="190"/>
      <c r="K39" s="190"/>
      <c r="L39" s="190"/>
      <c r="M39" s="190"/>
      <c r="N39" s="190"/>
      <c r="O39" s="190"/>
      <c r="P39" s="237"/>
      <c r="Z39" s="180"/>
    </row>
    <row r="40" spans="1:26" s="234" customFormat="1">
      <c r="C40" s="193"/>
      <c r="D40" s="235"/>
      <c r="E40" s="235"/>
      <c r="F40" s="235"/>
      <c r="G40" s="236"/>
      <c r="H40" s="190"/>
      <c r="I40" s="190"/>
      <c r="J40" s="190"/>
      <c r="K40" s="190"/>
      <c r="L40" s="190"/>
      <c r="M40" s="190"/>
      <c r="N40" s="190"/>
      <c r="O40" s="190"/>
      <c r="P40" s="237"/>
      <c r="Z40" s="180"/>
    </row>
    <row r="41" spans="1:26" s="234" customFormat="1">
      <c r="C41" s="193"/>
      <c r="D41" s="235"/>
      <c r="E41" s="235"/>
      <c r="F41" s="235"/>
      <c r="G41" s="236"/>
      <c r="H41" s="190"/>
      <c r="I41" s="190"/>
      <c r="J41" s="190"/>
      <c r="K41" s="190"/>
      <c r="L41" s="190"/>
      <c r="M41" s="190"/>
      <c r="N41" s="190"/>
      <c r="O41" s="190"/>
      <c r="P41" s="237"/>
      <c r="Z41" s="180"/>
    </row>
    <row r="42" spans="1:26" s="234" customFormat="1">
      <c r="C42" s="193"/>
      <c r="D42" s="235"/>
      <c r="E42" s="235"/>
      <c r="F42" s="235"/>
      <c r="G42" s="236"/>
      <c r="H42" s="190"/>
      <c r="I42" s="190"/>
      <c r="J42" s="190"/>
      <c r="K42" s="190"/>
      <c r="L42" s="190"/>
      <c r="M42" s="190"/>
      <c r="N42" s="190"/>
      <c r="O42" s="190"/>
      <c r="P42" s="237"/>
      <c r="Z42" s="180"/>
    </row>
    <row r="43" spans="1:26" s="234" customFormat="1">
      <c r="C43" s="193"/>
      <c r="D43" s="235"/>
      <c r="E43" s="235"/>
      <c r="F43" s="235"/>
      <c r="G43" s="236"/>
      <c r="H43" s="190"/>
      <c r="I43" s="190"/>
      <c r="J43" s="190"/>
      <c r="K43" s="190"/>
      <c r="L43" s="190"/>
      <c r="M43" s="190"/>
      <c r="N43" s="190"/>
      <c r="O43" s="190"/>
      <c r="P43" s="237"/>
      <c r="Z43" s="180"/>
    </row>
    <row r="44" spans="1:26" s="234" customFormat="1">
      <c r="C44" s="193"/>
      <c r="D44" s="235"/>
      <c r="E44" s="235"/>
      <c r="F44" s="235"/>
      <c r="G44" s="236"/>
      <c r="H44" s="190"/>
      <c r="I44" s="190"/>
      <c r="J44" s="190"/>
      <c r="K44" s="190"/>
      <c r="L44" s="190"/>
      <c r="M44" s="190"/>
      <c r="N44" s="190"/>
      <c r="O44" s="190"/>
      <c r="P44" s="237"/>
      <c r="Z44" s="180"/>
    </row>
    <row r="45" spans="1:26" s="234" customFormat="1">
      <c r="C45" s="193"/>
      <c r="D45" s="235"/>
      <c r="E45" s="235"/>
      <c r="F45" s="235"/>
      <c r="G45" s="236"/>
      <c r="H45" s="190"/>
      <c r="I45" s="190"/>
      <c r="J45" s="190"/>
      <c r="K45" s="190"/>
      <c r="L45" s="190"/>
      <c r="M45" s="190"/>
      <c r="N45" s="190"/>
      <c r="O45" s="190"/>
      <c r="P45" s="237"/>
      <c r="Z45" s="180"/>
    </row>
    <row r="46" spans="1:26" s="234" customFormat="1">
      <c r="C46" s="193"/>
      <c r="D46" s="235"/>
      <c r="E46" s="235"/>
      <c r="F46" s="235"/>
      <c r="G46" s="236"/>
      <c r="H46" s="190"/>
      <c r="I46" s="190"/>
      <c r="J46" s="190"/>
      <c r="K46" s="190"/>
      <c r="L46" s="190"/>
      <c r="M46" s="190"/>
      <c r="N46" s="190"/>
      <c r="O46" s="190"/>
      <c r="P46" s="237"/>
      <c r="Z46" s="180"/>
    </row>
    <row r="47" spans="1:26" s="234" customFormat="1">
      <c r="C47" s="193"/>
      <c r="D47" s="235"/>
      <c r="E47" s="235"/>
      <c r="F47" s="235"/>
      <c r="G47" s="236"/>
      <c r="H47" s="190"/>
      <c r="I47" s="190"/>
      <c r="J47" s="190"/>
      <c r="K47" s="190"/>
      <c r="L47" s="190"/>
      <c r="M47" s="190"/>
      <c r="N47" s="190"/>
      <c r="O47" s="190"/>
      <c r="P47" s="237"/>
      <c r="Z47" s="180"/>
    </row>
    <row r="48" spans="1:26" s="234" customFormat="1">
      <c r="C48" s="193"/>
      <c r="D48" s="235"/>
      <c r="E48" s="235"/>
      <c r="F48" s="235"/>
      <c r="G48" s="236"/>
      <c r="H48" s="190"/>
      <c r="I48" s="190"/>
      <c r="J48" s="190"/>
      <c r="K48" s="190"/>
      <c r="L48" s="190"/>
      <c r="M48" s="190"/>
      <c r="N48" s="190"/>
      <c r="O48" s="190"/>
      <c r="P48" s="237"/>
      <c r="Z48" s="180"/>
    </row>
    <row r="49" spans="3:26" s="234" customFormat="1">
      <c r="C49" s="193"/>
      <c r="D49" s="235"/>
      <c r="E49" s="235"/>
      <c r="F49" s="235"/>
      <c r="G49" s="236"/>
      <c r="H49" s="190"/>
      <c r="I49" s="190"/>
      <c r="J49" s="190"/>
      <c r="K49" s="190"/>
      <c r="L49" s="190"/>
      <c r="M49" s="190"/>
      <c r="N49" s="190"/>
      <c r="O49" s="190"/>
      <c r="P49" s="237"/>
      <c r="Z49" s="180"/>
    </row>
    <row r="50" spans="3:26" s="234" customFormat="1">
      <c r="C50" s="193"/>
      <c r="D50" s="235"/>
      <c r="E50" s="235"/>
      <c r="F50" s="235"/>
      <c r="G50" s="236"/>
      <c r="H50" s="190"/>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row r="57" spans="3:26" s="234" customFormat="1">
      <c r="C57" s="193"/>
      <c r="D57" s="235"/>
      <c r="E57" s="235"/>
      <c r="F57" s="235"/>
      <c r="G57" s="236"/>
      <c r="H57" s="190"/>
      <c r="I57" s="190"/>
      <c r="J57" s="190"/>
      <c r="K57" s="190"/>
      <c r="L57" s="190"/>
      <c r="M57" s="190"/>
      <c r="N57" s="190"/>
      <c r="O57" s="190"/>
      <c r="P57" s="237"/>
      <c r="Z57" s="180"/>
    </row>
    <row r="58" spans="3:26" s="234" customFormat="1">
      <c r="C58" s="193"/>
      <c r="D58" s="235"/>
      <c r="E58" s="235"/>
      <c r="F58" s="235"/>
      <c r="G58" s="236"/>
      <c r="H58" s="190"/>
      <c r="I58" s="190"/>
      <c r="J58" s="190"/>
      <c r="K58" s="190"/>
      <c r="L58" s="190"/>
      <c r="M58" s="190"/>
      <c r="N58" s="190"/>
      <c r="O58" s="190"/>
      <c r="P58" s="237"/>
      <c r="Z58" s="180"/>
    </row>
    <row r="59" spans="3:26" s="234" customFormat="1">
      <c r="C59" s="193"/>
      <c r="D59" s="235"/>
      <c r="E59" s="235"/>
      <c r="F59" s="235"/>
      <c r="G59" s="236"/>
      <c r="H59" s="190"/>
      <c r="I59" s="190"/>
      <c r="J59" s="190"/>
      <c r="K59" s="190"/>
      <c r="L59" s="190"/>
      <c r="M59" s="190"/>
      <c r="N59" s="190"/>
      <c r="O59" s="190"/>
      <c r="P59" s="237"/>
      <c r="Z59" s="180"/>
    </row>
    <row r="60" spans="3:26" s="234" customFormat="1">
      <c r="C60" s="193"/>
      <c r="D60" s="235"/>
      <c r="E60" s="235"/>
      <c r="F60" s="235"/>
      <c r="G60" s="236"/>
      <c r="H60" s="190"/>
      <c r="I60" s="190"/>
      <c r="J60" s="190"/>
      <c r="K60" s="190"/>
      <c r="L60" s="190"/>
      <c r="M60" s="190"/>
      <c r="N60" s="190"/>
      <c r="O60" s="190"/>
      <c r="P60" s="237"/>
      <c r="Z60" s="180"/>
    </row>
    <row r="61" spans="3:26" s="234" customFormat="1">
      <c r="C61" s="193"/>
      <c r="D61" s="235"/>
      <c r="E61" s="235"/>
      <c r="F61" s="235"/>
      <c r="G61" s="236"/>
      <c r="H61" s="190"/>
      <c r="I61" s="190"/>
      <c r="J61" s="190"/>
      <c r="K61" s="190"/>
      <c r="L61" s="190"/>
      <c r="M61" s="190"/>
      <c r="N61" s="190"/>
      <c r="O61" s="190"/>
      <c r="P61" s="237"/>
      <c r="Z61" s="180"/>
    </row>
    <row r="62" spans="3:26" s="234" customFormat="1">
      <c r="C62" s="193"/>
      <c r="D62" s="235"/>
      <c r="E62" s="235"/>
      <c r="F62" s="235"/>
      <c r="G62" s="236"/>
      <c r="H62" s="190"/>
      <c r="I62" s="190"/>
      <c r="J62" s="190"/>
      <c r="K62" s="190"/>
      <c r="L62" s="190"/>
      <c r="M62" s="190"/>
      <c r="N62" s="190"/>
      <c r="O62" s="190"/>
      <c r="P62" s="237"/>
      <c r="Z62" s="180"/>
    </row>
    <row r="63" spans="3:26" s="234" customFormat="1">
      <c r="C63" s="193"/>
      <c r="D63" s="235"/>
      <c r="E63" s="235"/>
      <c r="F63" s="235"/>
      <c r="G63" s="236"/>
      <c r="H63" s="190"/>
      <c r="I63" s="190"/>
      <c r="J63" s="190"/>
      <c r="K63" s="190"/>
      <c r="L63" s="190"/>
      <c r="M63" s="190"/>
      <c r="N63" s="190"/>
      <c r="O63" s="190"/>
      <c r="P63" s="237"/>
      <c r="Z63" s="180"/>
    </row>
    <row r="64" spans="3:26" s="234" customFormat="1">
      <c r="C64" s="193"/>
      <c r="D64" s="235"/>
      <c r="E64" s="235"/>
      <c r="F64" s="235"/>
      <c r="G64" s="236"/>
      <c r="H64" s="190"/>
      <c r="I64" s="190"/>
      <c r="J64" s="190"/>
      <c r="K64" s="190"/>
      <c r="L64" s="190"/>
      <c r="M64" s="190"/>
      <c r="N64" s="190"/>
      <c r="O64" s="190"/>
      <c r="P64" s="237"/>
      <c r="Z64" s="180"/>
    </row>
    <row r="65" spans="3:26" s="234" customFormat="1">
      <c r="C65" s="193"/>
      <c r="D65" s="235"/>
      <c r="E65" s="235"/>
      <c r="F65" s="235"/>
      <c r="G65" s="236"/>
      <c r="H65" s="190"/>
      <c r="I65" s="190"/>
      <c r="J65" s="190"/>
      <c r="K65" s="190"/>
      <c r="L65" s="190"/>
      <c r="M65" s="190"/>
      <c r="N65" s="190"/>
      <c r="O65" s="190"/>
      <c r="P65" s="237"/>
      <c r="Z65" s="180"/>
    </row>
    <row r="66" spans="3:26" s="234" customFormat="1">
      <c r="C66" s="193"/>
      <c r="D66" s="235"/>
      <c r="E66" s="235"/>
      <c r="F66" s="235"/>
      <c r="G66" s="236"/>
      <c r="H66" s="190"/>
      <c r="I66" s="190"/>
      <c r="J66" s="190"/>
      <c r="K66" s="190"/>
      <c r="L66" s="190"/>
      <c r="M66" s="190"/>
      <c r="N66" s="190"/>
      <c r="O66" s="190"/>
      <c r="P66" s="237"/>
      <c r="Z66" s="180"/>
    </row>
    <row r="67" spans="3:26" s="234" customFormat="1">
      <c r="C67" s="193"/>
      <c r="D67" s="235"/>
      <c r="E67" s="235"/>
      <c r="F67" s="235"/>
      <c r="G67" s="236"/>
      <c r="H67" s="190"/>
      <c r="I67" s="190"/>
      <c r="J67" s="190"/>
      <c r="K67" s="190"/>
      <c r="L67" s="190"/>
      <c r="M67" s="190"/>
      <c r="N67" s="190"/>
      <c r="O67" s="190"/>
      <c r="P67" s="237"/>
      <c r="Z67" s="180"/>
    </row>
    <row r="68" spans="3:26" s="234" customFormat="1">
      <c r="C68" s="193"/>
      <c r="D68" s="235"/>
      <c r="E68" s="235"/>
      <c r="F68" s="235"/>
      <c r="G68" s="236"/>
      <c r="H68" s="190"/>
      <c r="I68" s="190"/>
      <c r="J68" s="190"/>
      <c r="K68" s="190"/>
      <c r="L68" s="190"/>
      <c r="M68" s="190"/>
      <c r="N68" s="190"/>
      <c r="O68" s="190"/>
      <c r="P68" s="237"/>
      <c r="Z68" s="180"/>
    </row>
    <row r="69" spans="3:26" s="234" customFormat="1">
      <c r="C69" s="193"/>
      <c r="D69" s="235"/>
      <c r="E69" s="235"/>
      <c r="F69" s="235"/>
      <c r="G69" s="236"/>
      <c r="H69" s="190"/>
      <c r="I69" s="190"/>
      <c r="J69" s="190"/>
      <c r="K69" s="190"/>
      <c r="L69" s="190"/>
      <c r="M69" s="190"/>
      <c r="N69" s="190"/>
      <c r="O69" s="190"/>
      <c r="P69" s="237"/>
      <c r="Z69" s="180"/>
    </row>
    <row r="70" spans="3:26" s="234" customFormat="1">
      <c r="C70" s="193"/>
      <c r="D70" s="235"/>
      <c r="E70" s="235"/>
      <c r="F70" s="235"/>
      <c r="G70" s="236"/>
      <c r="H70" s="190"/>
      <c r="I70" s="190"/>
      <c r="J70" s="190"/>
      <c r="K70" s="190"/>
      <c r="L70" s="190"/>
      <c r="M70" s="190"/>
      <c r="N70" s="190"/>
      <c r="O70" s="190"/>
      <c r="P70" s="237"/>
      <c r="Z70" s="180"/>
    </row>
    <row r="71" spans="3:26" s="234" customFormat="1">
      <c r="C71" s="193"/>
      <c r="D71" s="235"/>
      <c r="E71" s="235"/>
      <c r="F71" s="235"/>
      <c r="G71" s="236"/>
      <c r="H71" s="190"/>
      <c r="I71" s="190"/>
      <c r="J71" s="190"/>
      <c r="K71" s="190"/>
      <c r="L71" s="190"/>
      <c r="M71" s="190"/>
      <c r="N71" s="190"/>
      <c r="O71" s="190"/>
      <c r="P71" s="237"/>
      <c r="Z71" s="180"/>
    </row>
  </sheetData>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2"/>
  </sheetPr>
  <dimension ref="B1:AA71"/>
  <sheetViews>
    <sheetView showZeros="0" workbookViewId="0">
      <selection activeCell="K26" sqref="K26"/>
    </sheetView>
  </sheetViews>
  <sheetFormatPr defaultRowHeight="12.75"/>
  <cols>
    <col min="1" max="1" width="2.7109375" style="158" customWidth="1"/>
    <col min="2" max="2" width="8.85546875" style="158" customWidth="1"/>
    <col min="3" max="3" width="13" style="163"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62" t="s">
        <v>212</v>
      </c>
    </row>
    <row r="2" spans="2:27">
      <c r="G2" s="179"/>
    </row>
    <row r="3" spans="2:27" s="177" customFormat="1" ht="13.5" thickBot="1">
      <c r="C3" s="215" t="s">
        <v>213</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141</v>
      </c>
      <c r="C4" s="217" t="s">
        <v>81</v>
      </c>
      <c r="D4" s="159">
        <f t="shared" ref="D4:M13" si="0">INDEX(scorematrix,MATCH($C4,renners,0),MATCH(D$3,etappes,0))</f>
        <v>13</v>
      </c>
      <c r="E4" s="159">
        <f t="shared" si="0"/>
        <v>9</v>
      </c>
      <c r="F4" s="159">
        <f t="shared" si="0"/>
        <v>3</v>
      </c>
      <c r="G4" s="159">
        <f t="shared" si="0"/>
        <v>24</v>
      </c>
      <c r="H4" s="159">
        <f t="shared" si="0"/>
        <v>4</v>
      </c>
      <c r="I4" s="159">
        <f t="shared" si="0"/>
        <v>4</v>
      </c>
      <c r="J4" s="159">
        <f t="shared" si="0"/>
        <v>17</v>
      </c>
      <c r="K4" s="159">
        <f t="shared" si="0"/>
        <v>43</v>
      </c>
      <c r="L4" s="159">
        <f t="shared" si="0"/>
        <v>42</v>
      </c>
      <c r="M4" s="159">
        <f t="shared" si="0"/>
        <v>32</v>
      </c>
      <c r="N4" s="159">
        <f t="shared" ref="N4:Y13" si="1">INDEX(scorematrix,MATCH($C4,renners,0),MATCH(N$3,etappes,0))</f>
        <v>23</v>
      </c>
      <c r="O4" s="159">
        <f t="shared" si="1"/>
        <v>22</v>
      </c>
      <c r="P4" s="159">
        <f t="shared" si="1"/>
        <v>25</v>
      </c>
      <c r="Q4" s="159">
        <f t="shared" si="1"/>
        <v>17</v>
      </c>
      <c r="R4" s="159">
        <f t="shared" si="1"/>
        <v>17</v>
      </c>
      <c r="S4" s="159">
        <f t="shared" si="1"/>
        <v>7</v>
      </c>
      <c r="T4" s="159">
        <f t="shared" si="1"/>
        <v>4</v>
      </c>
      <c r="U4" s="159">
        <f t="shared" si="1"/>
        <v>13</v>
      </c>
      <c r="V4" s="159">
        <f t="shared" si="1"/>
        <v>5</v>
      </c>
      <c r="W4" s="159">
        <f t="shared" si="1"/>
        <v>4</v>
      </c>
      <c r="X4" s="159">
        <f t="shared" si="1"/>
        <v>4</v>
      </c>
      <c r="Y4" s="159">
        <f t="shared" si="1"/>
        <v>38</v>
      </c>
      <c r="Z4" s="164">
        <f t="shared" ref="Z4:Z21" si="2">SUM(D4:Y4)</f>
        <v>370</v>
      </c>
      <c r="AA4" s="158" t="str">
        <f t="shared" ref="AA4:AA20" si="3">C4</f>
        <v>Evans</v>
      </c>
    </row>
    <row r="5" spans="2:27">
      <c r="B5" s="216" t="s">
        <v>157</v>
      </c>
      <c r="C5" s="217" t="s">
        <v>68</v>
      </c>
      <c r="D5" s="159">
        <f t="shared" si="0"/>
        <v>0</v>
      </c>
      <c r="E5" s="159">
        <f t="shared" si="0"/>
        <v>0</v>
      </c>
      <c r="F5" s="159">
        <f t="shared" si="0"/>
        <v>0</v>
      </c>
      <c r="G5" s="159">
        <f t="shared" si="0"/>
        <v>18</v>
      </c>
      <c r="H5" s="159">
        <f t="shared" si="0"/>
        <v>0</v>
      </c>
      <c r="I5" s="159">
        <f t="shared" si="0"/>
        <v>9</v>
      </c>
      <c r="J5" s="159">
        <f t="shared" si="0"/>
        <v>7</v>
      </c>
      <c r="K5" s="159">
        <f t="shared" si="0"/>
        <v>10</v>
      </c>
      <c r="L5" s="159">
        <f t="shared" si="0"/>
        <v>0</v>
      </c>
      <c r="M5" s="159">
        <f t="shared" si="0"/>
        <v>0</v>
      </c>
      <c r="N5" s="159">
        <f t="shared" si="1"/>
        <v>0</v>
      </c>
      <c r="O5" s="159">
        <f t="shared" si="1"/>
        <v>0</v>
      </c>
      <c r="P5" s="159">
        <f t="shared" si="1"/>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64">
        <f t="shared" si="2"/>
        <v>44</v>
      </c>
      <c r="AA5" s="158" t="str">
        <f t="shared" si="3"/>
        <v>Sanchez</v>
      </c>
    </row>
    <row r="6" spans="2:27">
      <c r="B6" s="216" t="s">
        <v>214</v>
      </c>
      <c r="C6" s="217" t="s">
        <v>76</v>
      </c>
      <c r="D6" s="159">
        <f t="shared" si="0"/>
        <v>0</v>
      </c>
      <c r="E6" s="159">
        <f t="shared" si="0"/>
        <v>0</v>
      </c>
      <c r="F6" s="159">
        <f t="shared" si="0"/>
        <v>16</v>
      </c>
      <c r="G6" s="159">
        <f t="shared" si="0"/>
        <v>0</v>
      </c>
      <c r="H6" s="159">
        <f t="shared" si="0"/>
        <v>0</v>
      </c>
      <c r="I6" s="159">
        <f t="shared" si="0"/>
        <v>0</v>
      </c>
      <c r="J6" s="159">
        <f t="shared" si="0"/>
        <v>0</v>
      </c>
      <c r="K6" s="159">
        <f t="shared" si="0"/>
        <v>0</v>
      </c>
      <c r="L6" s="159">
        <f t="shared" si="0"/>
        <v>0</v>
      </c>
      <c r="M6" s="159">
        <f t="shared" si="0"/>
        <v>0</v>
      </c>
      <c r="N6" s="159">
        <f t="shared" si="1"/>
        <v>0</v>
      </c>
      <c r="O6" s="159">
        <f t="shared" si="1"/>
        <v>0</v>
      </c>
      <c r="P6" s="159">
        <f t="shared" si="1"/>
        <v>0</v>
      </c>
      <c r="Q6" s="159">
        <f t="shared" si="1"/>
        <v>0</v>
      </c>
      <c r="R6" s="159">
        <f t="shared" si="1"/>
        <v>0</v>
      </c>
      <c r="S6" s="159">
        <f t="shared" si="1"/>
        <v>18</v>
      </c>
      <c r="T6" s="159">
        <f t="shared" si="1"/>
        <v>0</v>
      </c>
      <c r="U6" s="159">
        <f t="shared" si="1"/>
        <v>0</v>
      </c>
      <c r="V6" s="159">
        <f t="shared" si="1"/>
        <v>20</v>
      </c>
      <c r="W6" s="159">
        <f t="shared" si="1"/>
        <v>0</v>
      </c>
      <c r="X6" s="159">
        <f t="shared" si="1"/>
        <v>15</v>
      </c>
      <c r="Y6" s="159">
        <f t="shared" si="1"/>
        <v>0</v>
      </c>
      <c r="Z6" s="164">
        <f t="shared" si="2"/>
        <v>69</v>
      </c>
      <c r="AA6" s="158" t="str">
        <f t="shared" si="3"/>
        <v>Farrar</v>
      </c>
    </row>
    <row r="7" spans="2:27" s="218" customFormat="1">
      <c r="B7" s="216" t="s">
        <v>180</v>
      </c>
      <c r="C7" s="217" t="s">
        <v>170</v>
      </c>
      <c r="D7" s="159">
        <f t="shared" si="0"/>
        <v>12</v>
      </c>
      <c r="E7" s="159">
        <f t="shared" si="0"/>
        <v>13</v>
      </c>
      <c r="F7" s="159">
        <f t="shared" si="0"/>
        <v>2</v>
      </c>
      <c r="G7" s="159">
        <f t="shared" si="0"/>
        <v>19</v>
      </c>
      <c r="H7" s="159">
        <f t="shared" si="0"/>
        <v>3</v>
      </c>
      <c r="I7" s="159">
        <f t="shared" si="0"/>
        <v>3</v>
      </c>
      <c r="J7" s="159">
        <f t="shared" si="0"/>
        <v>14</v>
      </c>
      <c r="K7" s="159">
        <f t="shared" si="0"/>
        <v>33</v>
      </c>
      <c r="L7" s="159">
        <f t="shared" si="0"/>
        <v>30</v>
      </c>
      <c r="M7" s="159">
        <f t="shared" si="0"/>
        <v>25</v>
      </c>
      <c r="N7" s="159">
        <f t="shared" si="1"/>
        <v>18</v>
      </c>
      <c r="O7" s="159">
        <f t="shared" si="1"/>
        <v>30</v>
      </c>
      <c r="P7" s="159">
        <f t="shared" si="1"/>
        <v>17</v>
      </c>
      <c r="Q7" s="159">
        <f t="shared" si="1"/>
        <v>23</v>
      </c>
      <c r="R7" s="159">
        <f t="shared" si="1"/>
        <v>17</v>
      </c>
      <c r="S7" s="159">
        <f t="shared" si="1"/>
        <v>8</v>
      </c>
      <c r="T7" s="159">
        <f t="shared" si="1"/>
        <v>23</v>
      </c>
      <c r="U7" s="159">
        <f t="shared" si="1"/>
        <v>27</v>
      </c>
      <c r="V7" s="159">
        <f t="shared" si="1"/>
        <v>8</v>
      </c>
      <c r="W7" s="159">
        <f t="shared" si="1"/>
        <v>18</v>
      </c>
      <c r="X7" s="159">
        <f t="shared" si="1"/>
        <v>8</v>
      </c>
      <c r="Y7" s="159">
        <f t="shared" si="1"/>
        <v>52</v>
      </c>
      <c r="Z7" s="164">
        <f t="shared" si="2"/>
        <v>403</v>
      </c>
      <c r="AA7" s="158" t="str">
        <f t="shared" si="3"/>
        <v>Nibali</v>
      </c>
    </row>
    <row r="8" spans="2:27">
      <c r="B8" s="216" t="s">
        <v>129</v>
      </c>
      <c r="C8" s="217" t="s">
        <v>130</v>
      </c>
      <c r="D8" s="159">
        <f t="shared" si="0"/>
        <v>0</v>
      </c>
      <c r="E8" s="159">
        <f t="shared" si="0"/>
        <v>43</v>
      </c>
      <c r="F8" s="159">
        <f t="shared" si="0"/>
        <v>27</v>
      </c>
      <c r="G8" s="159">
        <f t="shared" si="0"/>
        <v>43</v>
      </c>
      <c r="H8" s="159">
        <f t="shared" si="0"/>
        <v>30</v>
      </c>
      <c r="I8" s="159">
        <f t="shared" si="0"/>
        <v>8</v>
      </c>
      <c r="J8" s="159">
        <f t="shared" si="0"/>
        <v>46</v>
      </c>
      <c r="K8" s="159">
        <f t="shared" si="0"/>
        <v>5</v>
      </c>
      <c r="L8" s="159">
        <f t="shared" si="0"/>
        <v>5</v>
      </c>
      <c r="M8" s="159">
        <f t="shared" si="0"/>
        <v>5</v>
      </c>
      <c r="N8" s="159">
        <f t="shared" si="1"/>
        <v>5</v>
      </c>
      <c r="O8" s="159">
        <f t="shared" si="1"/>
        <v>5</v>
      </c>
      <c r="P8" s="159">
        <f t="shared" si="1"/>
        <v>25</v>
      </c>
      <c r="Q8" s="159">
        <f t="shared" si="1"/>
        <v>35</v>
      </c>
      <c r="R8" s="159">
        <f t="shared" si="1"/>
        <v>35</v>
      </c>
      <c r="S8" s="159">
        <f t="shared" si="1"/>
        <v>22</v>
      </c>
      <c r="T8" s="159">
        <f t="shared" si="1"/>
        <v>5</v>
      </c>
      <c r="U8" s="159">
        <f t="shared" si="1"/>
        <v>5</v>
      </c>
      <c r="V8" s="159">
        <f t="shared" si="1"/>
        <v>31</v>
      </c>
      <c r="W8" s="159">
        <f t="shared" si="1"/>
        <v>5</v>
      </c>
      <c r="X8" s="159">
        <f t="shared" si="1"/>
        <v>35</v>
      </c>
      <c r="Y8" s="159">
        <f t="shared" si="1"/>
        <v>10</v>
      </c>
      <c r="Z8" s="164">
        <f t="shared" si="2"/>
        <v>430</v>
      </c>
      <c r="AA8" s="158" t="str">
        <f t="shared" si="3"/>
        <v>Sagan</v>
      </c>
    </row>
    <row r="9" spans="2:27">
      <c r="B9" s="216" t="s">
        <v>215</v>
      </c>
      <c r="C9" s="217" t="s">
        <v>87</v>
      </c>
      <c r="D9" s="159">
        <f t="shared" si="0"/>
        <v>0</v>
      </c>
      <c r="E9" s="159">
        <f t="shared" si="0"/>
        <v>0</v>
      </c>
      <c r="F9" s="159">
        <f t="shared" si="0"/>
        <v>15</v>
      </c>
      <c r="G9" s="159">
        <f t="shared" si="0"/>
        <v>0</v>
      </c>
      <c r="H9" s="159">
        <f t="shared" si="0"/>
        <v>0</v>
      </c>
      <c r="I9" s="159">
        <f t="shared" si="0"/>
        <v>0</v>
      </c>
      <c r="J9" s="159">
        <f t="shared" si="0"/>
        <v>0</v>
      </c>
      <c r="K9" s="159">
        <f t="shared" si="0"/>
        <v>0</v>
      </c>
      <c r="L9" s="159">
        <f t="shared" si="0"/>
        <v>0</v>
      </c>
      <c r="M9" s="159">
        <f t="shared" si="0"/>
        <v>0</v>
      </c>
      <c r="N9" s="159">
        <f t="shared" si="1"/>
        <v>0</v>
      </c>
      <c r="O9" s="159">
        <f t="shared" si="1"/>
        <v>0</v>
      </c>
      <c r="P9" s="159">
        <f t="shared" si="1"/>
        <v>0</v>
      </c>
      <c r="Q9" s="159">
        <f t="shared" si="1"/>
        <v>0</v>
      </c>
      <c r="R9" s="159">
        <f t="shared" si="1"/>
        <v>0</v>
      </c>
      <c r="S9" s="159">
        <f t="shared" si="1"/>
        <v>0</v>
      </c>
      <c r="T9" s="159">
        <f t="shared" si="1"/>
        <v>0</v>
      </c>
      <c r="U9" s="159">
        <f t="shared" si="1"/>
        <v>0</v>
      </c>
      <c r="V9" s="159">
        <f t="shared" si="1"/>
        <v>0</v>
      </c>
      <c r="W9" s="159">
        <f t="shared" si="1"/>
        <v>0</v>
      </c>
      <c r="X9" s="159">
        <f t="shared" si="1"/>
        <v>0</v>
      </c>
      <c r="Y9" s="159">
        <f t="shared" si="1"/>
        <v>0</v>
      </c>
      <c r="Z9" s="164">
        <f t="shared" si="2"/>
        <v>15</v>
      </c>
      <c r="AA9" s="158" t="str">
        <f t="shared" si="3"/>
        <v>Rojas</v>
      </c>
    </row>
    <row r="10" spans="2:27">
      <c r="B10" s="216" t="s">
        <v>158</v>
      </c>
      <c r="C10" s="217" t="s">
        <v>159</v>
      </c>
      <c r="D10" s="159">
        <f t="shared" si="0"/>
        <v>0</v>
      </c>
      <c r="E10" s="159">
        <f t="shared" si="0"/>
        <v>0</v>
      </c>
      <c r="F10" s="159">
        <f t="shared" si="0"/>
        <v>0</v>
      </c>
      <c r="G10" s="159">
        <f t="shared" si="0"/>
        <v>6</v>
      </c>
      <c r="H10" s="159">
        <f t="shared" si="0"/>
        <v>0</v>
      </c>
      <c r="I10" s="159">
        <f t="shared" si="0"/>
        <v>0</v>
      </c>
      <c r="J10" s="159">
        <f t="shared" si="0"/>
        <v>0</v>
      </c>
      <c r="K10" s="159">
        <f t="shared" si="0"/>
        <v>14</v>
      </c>
      <c r="L10" s="159">
        <f t="shared" si="0"/>
        <v>16</v>
      </c>
      <c r="M10" s="159">
        <f t="shared" si="0"/>
        <v>0</v>
      </c>
      <c r="N10" s="159">
        <f t="shared" si="1"/>
        <v>0</v>
      </c>
      <c r="O10" s="159">
        <f t="shared" si="1"/>
        <v>16</v>
      </c>
      <c r="P10" s="159">
        <f t="shared" si="1"/>
        <v>0</v>
      </c>
      <c r="Q10" s="159">
        <f t="shared" si="1"/>
        <v>0</v>
      </c>
      <c r="R10" s="159">
        <f t="shared" si="1"/>
        <v>0</v>
      </c>
      <c r="S10" s="159">
        <f t="shared" si="1"/>
        <v>0</v>
      </c>
      <c r="T10" s="159">
        <f t="shared" si="1"/>
        <v>0</v>
      </c>
      <c r="U10" s="159">
        <f t="shared" si="1"/>
        <v>0</v>
      </c>
      <c r="V10" s="159">
        <f t="shared" si="1"/>
        <v>0</v>
      </c>
      <c r="W10" s="159">
        <f t="shared" si="1"/>
        <v>0</v>
      </c>
      <c r="X10" s="159">
        <f t="shared" si="1"/>
        <v>0</v>
      </c>
      <c r="Y10" s="159">
        <f t="shared" si="1"/>
        <v>0</v>
      </c>
      <c r="Z10" s="164">
        <f t="shared" si="2"/>
        <v>52</v>
      </c>
      <c r="AA10" s="158" t="str">
        <f t="shared" si="3"/>
        <v>Schleck</v>
      </c>
    </row>
    <row r="11" spans="2:27">
      <c r="B11" s="216" t="s">
        <v>71</v>
      </c>
      <c r="C11" s="217" t="s">
        <v>72</v>
      </c>
      <c r="D11" s="159">
        <f t="shared" si="0"/>
        <v>43</v>
      </c>
      <c r="E11" s="159">
        <f t="shared" si="0"/>
        <v>19</v>
      </c>
      <c r="F11" s="159">
        <f t="shared" si="0"/>
        <v>9</v>
      </c>
      <c r="G11" s="159">
        <f t="shared" si="0"/>
        <v>9</v>
      </c>
      <c r="H11" s="159">
        <f t="shared" si="0"/>
        <v>9</v>
      </c>
      <c r="I11" s="159">
        <f t="shared" si="0"/>
        <v>17</v>
      </c>
      <c r="J11" s="159">
        <f t="shared" si="0"/>
        <v>9</v>
      </c>
      <c r="K11" s="159">
        <f t="shared" si="0"/>
        <v>39</v>
      </c>
      <c r="L11" s="159">
        <f t="shared" si="0"/>
        <v>35</v>
      </c>
      <c r="M11" s="159">
        <f t="shared" si="0"/>
        <v>46</v>
      </c>
      <c r="N11" s="159">
        <f t="shared" si="1"/>
        <v>23</v>
      </c>
      <c r="O11" s="159">
        <f t="shared" si="1"/>
        <v>30</v>
      </c>
      <c r="P11" s="159">
        <f t="shared" si="1"/>
        <v>24</v>
      </c>
      <c r="Q11" s="159">
        <f t="shared" si="1"/>
        <v>24</v>
      </c>
      <c r="R11" s="159">
        <f t="shared" si="1"/>
        <v>21</v>
      </c>
      <c r="S11" s="159">
        <f t="shared" si="1"/>
        <v>10</v>
      </c>
      <c r="T11" s="159">
        <f t="shared" si="1"/>
        <v>24</v>
      </c>
      <c r="U11" s="159">
        <f t="shared" si="1"/>
        <v>36</v>
      </c>
      <c r="V11" s="159">
        <f t="shared" si="1"/>
        <v>17</v>
      </c>
      <c r="W11" s="159">
        <f t="shared" si="1"/>
        <v>45</v>
      </c>
      <c r="X11" s="159">
        <f t="shared" si="1"/>
        <v>10</v>
      </c>
      <c r="Y11" s="159">
        <f t="shared" si="1"/>
        <v>70</v>
      </c>
      <c r="Z11" s="164">
        <f t="shared" si="2"/>
        <v>569</v>
      </c>
      <c r="AA11" s="158" t="str">
        <f t="shared" si="3"/>
        <v>Wiggins</v>
      </c>
    </row>
    <row r="12" spans="2:27">
      <c r="B12" s="216" t="s">
        <v>150</v>
      </c>
      <c r="C12" s="217" t="s">
        <v>75</v>
      </c>
      <c r="D12" s="159">
        <f t="shared" si="0"/>
        <v>0</v>
      </c>
      <c r="E12" s="159">
        <f t="shared" si="0"/>
        <v>0</v>
      </c>
      <c r="F12" s="159">
        <f t="shared" si="0"/>
        <v>39</v>
      </c>
      <c r="G12" s="159">
        <f t="shared" si="0"/>
        <v>3</v>
      </c>
      <c r="H12" s="159">
        <f t="shared" si="0"/>
        <v>2</v>
      </c>
      <c r="I12" s="159">
        <f t="shared" si="0"/>
        <v>24</v>
      </c>
      <c r="J12" s="159">
        <f t="shared" si="0"/>
        <v>2</v>
      </c>
      <c r="K12" s="159">
        <f t="shared" si="0"/>
        <v>2</v>
      </c>
      <c r="L12" s="159">
        <f t="shared" si="0"/>
        <v>2</v>
      </c>
      <c r="M12" s="159">
        <f t="shared" si="0"/>
        <v>2</v>
      </c>
      <c r="N12" s="159">
        <f t="shared" si="1"/>
        <v>2</v>
      </c>
      <c r="O12" s="159">
        <f t="shared" si="1"/>
        <v>2</v>
      </c>
      <c r="P12" s="159">
        <f t="shared" si="1"/>
        <v>2</v>
      </c>
      <c r="Q12" s="159">
        <f t="shared" si="1"/>
        <v>2</v>
      </c>
      <c r="R12" s="159">
        <f t="shared" si="1"/>
        <v>2</v>
      </c>
      <c r="S12" s="159">
        <f t="shared" si="1"/>
        <v>2</v>
      </c>
      <c r="T12" s="159">
        <f t="shared" si="1"/>
        <v>2</v>
      </c>
      <c r="U12" s="159">
        <f t="shared" si="1"/>
        <v>2</v>
      </c>
      <c r="V12" s="159">
        <f t="shared" si="1"/>
        <v>37</v>
      </c>
      <c r="W12" s="159">
        <f t="shared" si="1"/>
        <v>2</v>
      </c>
      <c r="X12" s="159">
        <f t="shared" si="1"/>
        <v>37</v>
      </c>
      <c r="Y12" s="159">
        <f t="shared" si="1"/>
        <v>3</v>
      </c>
      <c r="Z12" s="164">
        <f t="shared" si="2"/>
        <v>171</v>
      </c>
      <c r="AA12" s="158" t="str">
        <f t="shared" si="3"/>
        <v>Cavendish</v>
      </c>
    </row>
    <row r="13" spans="2:27">
      <c r="B13" s="216" t="s">
        <v>194</v>
      </c>
      <c r="C13" s="217" t="s">
        <v>85</v>
      </c>
      <c r="D13" s="159">
        <f t="shared" si="0"/>
        <v>29</v>
      </c>
      <c r="E13" s="159">
        <f t="shared" si="0"/>
        <v>35</v>
      </c>
      <c r="F13" s="159">
        <f t="shared" si="0"/>
        <v>14</v>
      </c>
      <c r="G13" s="159">
        <f t="shared" si="0"/>
        <v>38</v>
      </c>
      <c r="H13" s="159">
        <f t="shared" si="0"/>
        <v>24</v>
      </c>
      <c r="I13" s="159">
        <f t="shared" si="0"/>
        <v>6</v>
      </c>
      <c r="J13" s="159">
        <f t="shared" si="0"/>
        <v>0</v>
      </c>
      <c r="K13" s="159">
        <f t="shared" si="0"/>
        <v>0</v>
      </c>
      <c r="L13" s="159">
        <f t="shared" si="0"/>
        <v>0</v>
      </c>
      <c r="M13" s="159">
        <f t="shared" si="0"/>
        <v>0</v>
      </c>
      <c r="N13" s="159">
        <f t="shared" si="1"/>
        <v>0</v>
      </c>
      <c r="O13" s="159">
        <f t="shared" si="1"/>
        <v>0</v>
      </c>
      <c r="P13" s="159">
        <f t="shared" si="1"/>
        <v>0</v>
      </c>
      <c r="Q13" s="159">
        <f t="shared" si="1"/>
        <v>27</v>
      </c>
      <c r="R13" s="159">
        <f t="shared" si="1"/>
        <v>1</v>
      </c>
      <c r="S13" s="159">
        <f t="shared" si="1"/>
        <v>1</v>
      </c>
      <c r="T13" s="159">
        <f t="shared" si="1"/>
        <v>1</v>
      </c>
      <c r="U13" s="159">
        <f t="shared" si="1"/>
        <v>1</v>
      </c>
      <c r="V13" s="159">
        <f t="shared" si="1"/>
        <v>14</v>
      </c>
      <c r="W13" s="159">
        <f t="shared" si="1"/>
        <v>1</v>
      </c>
      <c r="X13" s="159">
        <f t="shared" si="1"/>
        <v>18</v>
      </c>
      <c r="Y13" s="159">
        <f t="shared" si="1"/>
        <v>1</v>
      </c>
      <c r="Z13" s="164">
        <f t="shared" si="2"/>
        <v>211</v>
      </c>
      <c r="AA13" s="158" t="str">
        <f t="shared" si="3"/>
        <v>Boasson Hagen</v>
      </c>
    </row>
    <row r="14" spans="2:27">
      <c r="B14" s="216" t="s">
        <v>200</v>
      </c>
      <c r="C14" s="217" t="s">
        <v>89</v>
      </c>
      <c r="D14" s="159">
        <f t="shared" ref="D14:M20" si="4">INDEX(scorematrix,MATCH($C14,renners,0),MATCH(D$3,etappes,0))</f>
        <v>0</v>
      </c>
      <c r="E14" s="159">
        <f t="shared" si="4"/>
        <v>0</v>
      </c>
      <c r="F14" s="159">
        <f t="shared" si="4"/>
        <v>0</v>
      </c>
      <c r="G14" s="159">
        <f t="shared" si="4"/>
        <v>0</v>
      </c>
      <c r="H14" s="159">
        <f t="shared" si="4"/>
        <v>0</v>
      </c>
      <c r="I14" s="159">
        <f t="shared" si="4"/>
        <v>0</v>
      </c>
      <c r="J14" s="159">
        <f t="shared" si="4"/>
        <v>0</v>
      </c>
      <c r="K14" s="159">
        <f t="shared" si="4"/>
        <v>0</v>
      </c>
      <c r="L14" s="159">
        <f t="shared" si="4"/>
        <v>0</v>
      </c>
      <c r="M14" s="159">
        <f t="shared" si="4"/>
        <v>0</v>
      </c>
      <c r="N14" s="159">
        <f t="shared" ref="N14:Y20" si="5">INDEX(scorematrix,MATCH($C14,renners,0),MATCH(N$3,etappes,0))</f>
        <v>40</v>
      </c>
      <c r="O14" s="159">
        <f t="shared" si="5"/>
        <v>0</v>
      </c>
      <c r="P14" s="159">
        <f t="shared" si="5"/>
        <v>0</v>
      </c>
      <c r="Q14" s="159">
        <f t="shared" si="5"/>
        <v>0</v>
      </c>
      <c r="R14" s="159">
        <f t="shared" si="5"/>
        <v>2</v>
      </c>
      <c r="S14" s="159">
        <f t="shared" si="5"/>
        <v>27</v>
      </c>
      <c r="T14" s="159">
        <f t="shared" si="5"/>
        <v>40</v>
      </c>
      <c r="U14" s="159">
        <f t="shared" si="5"/>
        <v>5</v>
      </c>
      <c r="V14" s="159">
        <f t="shared" si="5"/>
        <v>5</v>
      </c>
      <c r="W14" s="159">
        <f t="shared" si="5"/>
        <v>5</v>
      </c>
      <c r="X14" s="159">
        <f t="shared" si="5"/>
        <v>5</v>
      </c>
      <c r="Y14" s="159">
        <f t="shared" si="5"/>
        <v>10</v>
      </c>
      <c r="Z14" s="164">
        <f t="shared" si="2"/>
        <v>139</v>
      </c>
      <c r="AA14" s="158" t="str">
        <f t="shared" si="3"/>
        <v>Voeckler</v>
      </c>
    </row>
    <row r="15" spans="2:27">
      <c r="B15" s="216" t="s">
        <v>131</v>
      </c>
      <c r="C15" s="217" t="s">
        <v>132</v>
      </c>
      <c r="D15" s="159">
        <f t="shared" si="4"/>
        <v>0</v>
      </c>
      <c r="E15" s="159">
        <f t="shared" si="4"/>
        <v>0</v>
      </c>
      <c r="F15" s="159">
        <f t="shared" si="4"/>
        <v>0</v>
      </c>
      <c r="G15" s="159">
        <f t="shared" si="4"/>
        <v>0</v>
      </c>
      <c r="H15" s="159">
        <f t="shared" si="4"/>
        <v>0</v>
      </c>
      <c r="I15" s="159">
        <f t="shared" si="4"/>
        <v>0</v>
      </c>
      <c r="J15" s="159">
        <f t="shared" si="4"/>
        <v>0</v>
      </c>
      <c r="K15" s="159">
        <f t="shared" si="4"/>
        <v>0</v>
      </c>
      <c r="L15" s="159">
        <f t="shared" si="4"/>
        <v>0</v>
      </c>
      <c r="M15" s="159">
        <f t="shared" si="4"/>
        <v>0</v>
      </c>
      <c r="N15" s="159">
        <f t="shared" si="5"/>
        <v>0</v>
      </c>
      <c r="O15" s="159">
        <f t="shared" si="5"/>
        <v>0</v>
      </c>
      <c r="P15" s="159">
        <f t="shared" si="5"/>
        <v>0</v>
      </c>
      <c r="Q15" s="159">
        <f t="shared" si="5"/>
        <v>0</v>
      </c>
      <c r="R15" s="159">
        <f t="shared" si="5"/>
        <v>0</v>
      </c>
      <c r="S15" s="159">
        <f t="shared" si="5"/>
        <v>0</v>
      </c>
      <c r="T15" s="159">
        <f t="shared" si="5"/>
        <v>0</v>
      </c>
      <c r="U15" s="159">
        <f t="shared" si="5"/>
        <v>0</v>
      </c>
      <c r="V15" s="159">
        <f t="shared" si="5"/>
        <v>0</v>
      </c>
      <c r="W15" s="159">
        <f t="shared" si="5"/>
        <v>0</v>
      </c>
      <c r="X15" s="159">
        <f t="shared" si="5"/>
        <v>0</v>
      </c>
      <c r="Y15" s="159">
        <f t="shared" si="5"/>
        <v>0</v>
      </c>
      <c r="Z15" s="164">
        <f t="shared" si="2"/>
        <v>0</v>
      </c>
      <c r="AA15" s="158" t="str">
        <f t="shared" si="3"/>
        <v>Kittel</v>
      </c>
    </row>
    <row r="16" spans="2:27">
      <c r="B16" s="216" t="s">
        <v>216</v>
      </c>
      <c r="C16" s="217" t="s">
        <v>217</v>
      </c>
      <c r="D16" s="159">
        <f t="shared" si="4"/>
        <v>0</v>
      </c>
      <c r="E16" s="159">
        <f t="shared" si="4"/>
        <v>0</v>
      </c>
      <c r="F16" s="159">
        <f t="shared" si="4"/>
        <v>0</v>
      </c>
      <c r="G16" s="159">
        <f t="shared" si="4"/>
        <v>0</v>
      </c>
      <c r="H16" s="159">
        <f t="shared" si="4"/>
        <v>0</v>
      </c>
      <c r="I16" s="159">
        <f t="shared" si="4"/>
        <v>0</v>
      </c>
      <c r="J16" s="159">
        <f t="shared" si="4"/>
        <v>0</v>
      </c>
      <c r="K16" s="159">
        <f t="shared" si="4"/>
        <v>0</v>
      </c>
      <c r="L16" s="159">
        <f t="shared" si="4"/>
        <v>0</v>
      </c>
      <c r="M16" s="159">
        <f t="shared" si="4"/>
        <v>0</v>
      </c>
      <c r="N16" s="159">
        <f t="shared" si="5"/>
        <v>0</v>
      </c>
      <c r="O16" s="159">
        <f t="shared" si="5"/>
        <v>0</v>
      </c>
      <c r="P16" s="159">
        <f t="shared" si="5"/>
        <v>0</v>
      </c>
      <c r="Q16" s="159">
        <f t="shared" si="5"/>
        <v>0</v>
      </c>
      <c r="R16" s="159">
        <f t="shared" si="5"/>
        <v>0</v>
      </c>
      <c r="S16" s="159">
        <f t="shared" si="5"/>
        <v>0</v>
      </c>
      <c r="T16" s="159">
        <f t="shared" si="5"/>
        <v>0</v>
      </c>
      <c r="U16" s="159">
        <f t="shared" si="5"/>
        <v>0</v>
      </c>
      <c r="V16" s="159">
        <f t="shared" si="5"/>
        <v>0</v>
      </c>
      <c r="W16" s="159">
        <f t="shared" si="5"/>
        <v>0</v>
      </c>
      <c r="X16" s="159">
        <f t="shared" si="5"/>
        <v>0</v>
      </c>
      <c r="Y16" s="159">
        <f t="shared" si="5"/>
        <v>0</v>
      </c>
      <c r="Z16" s="164">
        <f t="shared" si="2"/>
        <v>0</v>
      </c>
      <c r="AA16" s="158" t="str">
        <f t="shared" si="3"/>
        <v>Cooke</v>
      </c>
    </row>
    <row r="17" spans="2:27">
      <c r="B17" s="216" t="s">
        <v>171</v>
      </c>
      <c r="C17" s="217" t="s">
        <v>99</v>
      </c>
      <c r="D17" s="159">
        <f t="shared" si="4"/>
        <v>0</v>
      </c>
      <c r="E17" s="159">
        <f t="shared" si="4"/>
        <v>0</v>
      </c>
      <c r="F17" s="159">
        <f t="shared" si="4"/>
        <v>30</v>
      </c>
      <c r="G17" s="159">
        <f t="shared" si="4"/>
        <v>0</v>
      </c>
      <c r="H17" s="159">
        <f t="shared" si="4"/>
        <v>38</v>
      </c>
      <c r="I17" s="159">
        <f t="shared" si="4"/>
        <v>38</v>
      </c>
      <c r="J17" s="159">
        <f t="shared" si="4"/>
        <v>33</v>
      </c>
      <c r="K17" s="159">
        <f t="shared" si="4"/>
        <v>3</v>
      </c>
      <c r="L17" s="159">
        <f t="shared" si="4"/>
        <v>3</v>
      </c>
      <c r="M17" s="159">
        <f t="shared" si="4"/>
        <v>3</v>
      </c>
      <c r="N17" s="159">
        <f t="shared" si="5"/>
        <v>3</v>
      </c>
      <c r="O17" s="159">
        <f t="shared" si="5"/>
        <v>3</v>
      </c>
      <c r="P17" s="159">
        <f t="shared" si="5"/>
        <v>3</v>
      </c>
      <c r="Q17" s="159">
        <f t="shared" si="5"/>
        <v>39</v>
      </c>
      <c r="R17" s="159">
        <f t="shared" si="5"/>
        <v>4</v>
      </c>
      <c r="S17" s="159">
        <f t="shared" si="5"/>
        <v>23</v>
      </c>
      <c r="T17" s="159">
        <f t="shared" si="5"/>
        <v>4</v>
      </c>
      <c r="U17" s="159">
        <f t="shared" si="5"/>
        <v>4</v>
      </c>
      <c r="V17" s="159">
        <f t="shared" si="5"/>
        <v>19</v>
      </c>
      <c r="W17" s="159">
        <f t="shared" si="5"/>
        <v>4</v>
      </c>
      <c r="X17" s="159">
        <f t="shared" si="5"/>
        <v>22</v>
      </c>
      <c r="Y17" s="159">
        <f t="shared" si="5"/>
        <v>7</v>
      </c>
      <c r="Z17" s="164">
        <f t="shared" si="2"/>
        <v>283</v>
      </c>
      <c r="AA17" s="158" t="str">
        <f t="shared" si="3"/>
        <v>Greipel</v>
      </c>
    </row>
    <row r="18" spans="2:27">
      <c r="B18" s="216" t="s">
        <v>145</v>
      </c>
      <c r="C18" s="217" t="s">
        <v>79</v>
      </c>
      <c r="D18" s="159">
        <f t="shared" si="4"/>
        <v>50</v>
      </c>
      <c r="E18" s="159">
        <f t="shared" si="4"/>
        <v>45</v>
      </c>
      <c r="F18" s="159">
        <f t="shared" si="4"/>
        <v>13</v>
      </c>
      <c r="G18" s="159">
        <f t="shared" si="4"/>
        <v>38</v>
      </c>
      <c r="H18" s="159">
        <f t="shared" si="4"/>
        <v>10</v>
      </c>
      <c r="I18" s="159">
        <f t="shared" si="4"/>
        <v>10</v>
      </c>
      <c r="J18" s="159">
        <f t="shared" si="4"/>
        <v>10</v>
      </c>
      <c r="K18" s="159">
        <f t="shared" si="4"/>
        <v>6</v>
      </c>
      <c r="L18" s="159">
        <f t="shared" si="4"/>
        <v>0</v>
      </c>
      <c r="M18" s="159">
        <f t="shared" si="4"/>
        <v>26</v>
      </c>
      <c r="N18" s="159">
        <f t="shared" si="5"/>
        <v>0</v>
      </c>
      <c r="O18" s="159">
        <f t="shared" si="5"/>
        <v>0</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208</v>
      </c>
      <c r="AA18" s="158" t="str">
        <f t="shared" si="3"/>
        <v>Cancellara</v>
      </c>
    </row>
    <row r="19" spans="2:27">
      <c r="B19" s="216" t="s">
        <v>160</v>
      </c>
      <c r="C19" s="217" t="s">
        <v>218</v>
      </c>
      <c r="D19" s="159">
        <f t="shared" si="4"/>
        <v>0</v>
      </c>
      <c r="E19" s="159">
        <f t="shared" si="4"/>
        <v>15</v>
      </c>
      <c r="F19" s="159">
        <f t="shared" si="4"/>
        <v>0</v>
      </c>
      <c r="G19" s="159">
        <f t="shared" si="4"/>
        <v>0</v>
      </c>
      <c r="H19" s="159">
        <f t="shared" si="4"/>
        <v>0</v>
      </c>
      <c r="I19" s="159">
        <f t="shared" si="4"/>
        <v>0</v>
      </c>
      <c r="J19" s="159">
        <f t="shared" si="4"/>
        <v>0</v>
      </c>
      <c r="K19" s="159">
        <f t="shared" si="4"/>
        <v>0</v>
      </c>
      <c r="L19" s="159">
        <f t="shared" si="4"/>
        <v>23</v>
      </c>
      <c r="M19" s="159">
        <f t="shared" si="4"/>
        <v>2</v>
      </c>
      <c r="N19" s="159">
        <f t="shared" si="5"/>
        <v>20</v>
      </c>
      <c r="O19" s="159">
        <f t="shared" si="5"/>
        <v>30</v>
      </c>
      <c r="P19" s="159">
        <f t="shared" si="5"/>
        <v>14</v>
      </c>
      <c r="Q19" s="159">
        <f t="shared" si="5"/>
        <v>15</v>
      </c>
      <c r="R19" s="159">
        <f t="shared" si="5"/>
        <v>6</v>
      </c>
      <c r="S19" s="159">
        <f t="shared" si="5"/>
        <v>6</v>
      </c>
      <c r="T19" s="159">
        <f t="shared" si="5"/>
        <v>17</v>
      </c>
      <c r="U19" s="159">
        <f t="shared" si="5"/>
        <v>27</v>
      </c>
      <c r="V19" s="159">
        <f t="shared" si="5"/>
        <v>7</v>
      </c>
      <c r="W19" s="159">
        <f t="shared" si="5"/>
        <v>7</v>
      </c>
      <c r="X19" s="159">
        <f t="shared" si="5"/>
        <v>7</v>
      </c>
      <c r="Y19" s="159">
        <f t="shared" si="5"/>
        <v>48</v>
      </c>
      <c r="Z19" s="164">
        <f t="shared" si="2"/>
        <v>244</v>
      </c>
      <c r="AA19" s="158" t="str">
        <f t="shared" si="3"/>
        <v>van den Broeck</v>
      </c>
    </row>
    <row r="20" spans="2:27">
      <c r="B20" s="216" t="s">
        <v>144</v>
      </c>
      <c r="C20" s="217" t="s">
        <v>82</v>
      </c>
      <c r="D20" s="159">
        <f t="shared" si="4"/>
        <v>0</v>
      </c>
      <c r="E20" s="159">
        <f t="shared" si="4"/>
        <v>0</v>
      </c>
      <c r="F20" s="159">
        <f t="shared" si="4"/>
        <v>0</v>
      </c>
      <c r="G20" s="159">
        <f t="shared" si="4"/>
        <v>0</v>
      </c>
      <c r="H20" s="159">
        <f t="shared" si="4"/>
        <v>0</v>
      </c>
      <c r="I20" s="159">
        <f t="shared" si="4"/>
        <v>0</v>
      </c>
      <c r="J20" s="159">
        <f t="shared" si="4"/>
        <v>0</v>
      </c>
      <c r="K20" s="159">
        <f t="shared" si="4"/>
        <v>0</v>
      </c>
      <c r="L20" s="159">
        <f t="shared" si="4"/>
        <v>0</v>
      </c>
      <c r="M20" s="159">
        <f t="shared" si="4"/>
        <v>14</v>
      </c>
      <c r="N20" s="159">
        <f t="shared" si="5"/>
        <v>0</v>
      </c>
      <c r="O20" s="159">
        <f t="shared" si="5"/>
        <v>0</v>
      </c>
      <c r="P20" s="159">
        <f t="shared" si="5"/>
        <v>0</v>
      </c>
      <c r="Q20" s="159">
        <f t="shared" si="5"/>
        <v>0</v>
      </c>
      <c r="R20" s="159">
        <f t="shared" si="5"/>
        <v>0</v>
      </c>
      <c r="S20" s="159">
        <f t="shared" si="5"/>
        <v>0</v>
      </c>
      <c r="T20" s="159">
        <f t="shared" si="5"/>
        <v>0</v>
      </c>
      <c r="U20" s="159">
        <f t="shared" si="5"/>
        <v>0</v>
      </c>
      <c r="V20" s="159">
        <f t="shared" si="5"/>
        <v>0</v>
      </c>
      <c r="W20" s="159">
        <f t="shared" si="5"/>
        <v>0</v>
      </c>
      <c r="X20" s="159">
        <f t="shared" si="5"/>
        <v>0</v>
      </c>
      <c r="Y20" s="159">
        <f t="shared" si="5"/>
        <v>0</v>
      </c>
      <c r="Z20" s="164">
        <f t="shared" si="2"/>
        <v>14</v>
      </c>
      <c r="AA20" s="158" t="str">
        <f t="shared" si="3"/>
        <v>Martin</v>
      </c>
    </row>
    <row r="21" spans="2:27" s="219" customFormat="1">
      <c r="C21" s="253"/>
      <c r="D21" s="221"/>
      <c r="E21" s="221"/>
      <c r="F21" s="221"/>
      <c r="G21" s="221"/>
      <c r="H21" s="221"/>
      <c r="I21" s="221"/>
      <c r="J21" s="221"/>
      <c r="K21" s="221"/>
      <c r="L21" s="221"/>
      <c r="M21" s="221"/>
      <c r="N21" s="221"/>
      <c r="O21" s="221"/>
      <c r="P21" s="221"/>
      <c r="Q21" s="221"/>
      <c r="R21" s="221"/>
      <c r="S21" s="221"/>
      <c r="T21" s="221"/>
      <c r="U21" s="221"/>
      <c r="V21" s="221"/>
      <c r="W21" s="221"/>
      <c r="X21" s="221"/>
      <c r="Y21" s="221"/>
      <c r="Z21" s="164">
        <f t="shared" si="2"/>
        <v>0</v>
      </c>
    </row>
    <row r="22" spans="2:27" s="162" customFormat="1">
      <c r="C22" s="196"/>
      <c r="D22" s="223">
        <f t="shared" ref="D22:Z22" si="6">SUM(D4:D21)</f>
        <v>147</v>
      </c>
      <c r="E22" s="223">
        <f t="shared" ref="E22" si="7">SUM(E4:E21)</f>
        <v>179</v>
      </c>
      <c r="F22" s="223">
        <f>SUM(F4:F21)</f>
        <v>168</v>
      </c>
      <c r="G22" s="223">
        <f t="shared" si="6"/>
        <v>198</v>
      </c>
      <c r="H22" s="223">
        <f t="shared" si="6"/>
        <v>120</v>
      </c>
      <c r="I22" s="223">
        <f t="shared" si="6"/>
        <v>119</v>
      </c>
      <c r="J22" s="223">
        <f t="shared" si="6"/>
        <v>138</v>
      </c>
      <c r="K22" s="223">
        <f t="shared" si="6"/>
        <v>155</v>
      </c>
      <c r="L22" s="223">
        <f t="shared" si="6"/>
        <v>156</v>
      </c>
      <c r="M22" s="223">
        <f t="shared" si="6"/>
        <v>155</v>
      </c>
      <c r="N22" s="223">
        <f t="shared" si="6"/>
        <v>134</v>
      </c>
      <c r="O22" s="223">
        <f t="shared" si="6"/>
        <v>138</v>
      </c>
      <c r="P22" s="223">
        <f t="shared" si="6"/>
        <v>110</v>
      </c>
      <c r="Q22" s="223">
        <f t="shared" si="6"/>
        <v>182</v>
      </c>
      <c r="R22" s="223">
        <f t="shared" si="6"/>
        <v>105</v>
      </c>
      <c r="S22" s="223">
        <f t="shared" si="6"/>
        <v>124</v>
      </c>
      <c r="T22" s="223">
        <f t="shared" si="6"/>
        <v>120</v>
      </c>
      <c r="U22" s="223">
        <f t="shared" si="6"/>
        <v>120</v>
      </c>
      <c r="V22" s="223">
        <f t="shared" si="6"/>
        <v>163</v>
      </c>
      <c r="W22" s="223">
        <f t="shared" si="6"/>
        <v>91</v>
      </c>
      <c r="X22" s="223">
        <f t="shared" si="6"/>
        <v>161</v>
      </c>
      <c r="Y22" s="223">
        <f t="shared" si="6"/>
        <v>239</v>
      </c>
      <c r="Z22" s="224">
        <f t="shared" si="6"/>
        <v>3222</v>
      </c>
    </row>
    <row r="23" spans="2:27" s="225" customFormat="1">
      <c r="C23" s="234"/>
      <c r="D23" s="194"/>
      <c r="E23" s="194"/>
      <c r="F23" s="194"/>
      <c r="G23" s="226"/>
      <c r="H23" s="194"/>
      <c r="I23" s="194"/>
      <c r="J23" s="194"/>
      <c r="K23" s="194"/>
      <c r="L23" s="194"/>
      <c r="M23" s="194"/>
      <c r="N23" s="194"/>
      <c r="O23" s="194"/>
      <c r="P23" s="194"/>
      <c r="Q23" s="194"/>
      <c r="R23" s="194"/>
      <c r="S23" s="194"/>
      <c r="T23" s="194"/>
      <c r="U23" s="194"/>
      <c r="V23" s="194"/>
      <c r="W23" s="194"/>
      <c r="X23" s="194"/>
      <c r="Y23" s="194"/>
      <c r="Z23" s="227"/>
    </row>
    <row r="24" spans="2:27" s="230" customFormat="1">
      <c r="B24" s="216" t="s">
        <v>156</v>
      </c>
      <c r="C24" s="228" t="s">
        <v>93</v>
      </c>
      <c r="D24" s="295">
        <f t="shared" ref="D24:Y26" si="8">INDEX(scorematrix,MATCH($C24,renners,0),MATCH(D$3,etappes,0))</f>
        <v>11</v>
      </c>
      <c r="E24" s="295">
        <f t="shared" si="8"/>
        <v>18</v>
      </c>
      <c r="F24" s="295">
        <f t="shared" si="8"/>
        <v>1</v>
      </c>
      <c r="G24" s="295">
        <f t="shared" si="8"/>
        <v>17</v>
      </c>
      <c r="H24" s="295">
        <f t="shared" si="8"/>
        <v>2</v>
      </c>
      <c r="I24" s="295">
        <f t="shared" si="8"/>
        <v>2</v>
      </c>
      <c r="J24" s="295">
        <f t="shared" si="8"/>
        <v>0</v>
      </c>
      <c r="K24" s="295">
        <f t="shared" si="8"/>
        <v>0</v>
      </c>
      <c r="L24" s="297">
        <f t="shared" si="8"/>
        <v>0</v>
      </c>
      <c r="M24" s="297">
        <f t="shared" si="8"/>
        <v>0</v>
      </c>
      <c r="N24" s="295">
        <f t="shared" si="8"/>
        <v>0</v>
      </c>
      <c r="O24" s="295">
        <f t="shared" si="8"/>
        <v>0</v>
      </c>
      <c r="P24" s="295">
        <f t="shared" si="8"/>
        <v>0</v>
      </c>
      <c r="Q24" s="295">
        <f t="shared" si="8"/>
        <v>0</v>
      </c>
      <c r="R24" s="295">
        <f t="shared" si="8"/>
        <v>0</v>
      </c>
      <c r="S24" s="295">
        <f t="shared" si="8"/>
        <v>0</v>
      </c>
      <c r="T24" s="295">
        <f t="shared" si="8"/>
        <v>0</v>
      </c>
      <c r="U24" s="295">
        <f t="shared" si="8"/>
        <v>0</v>
      </c>
      <c r="V24" s="295">
        <f t="shared" si="8"/>
        <v>0</v>
      </c>
      <c r="W24" s="295">
        <f t="shared" si="8"/>
        <v>0</v>
      </c>
      <c r="X24" s="295">
        <f t="shared" si="8"/>
        <v>0</v>
      </c>
      <c r="Y24" s="295">
        <f t="shared" si="8"/>
        <v>0</v>
      </c>
      <c r="Z24" s="254">
        <f>SUM(D24:Y24)</f>
        <v>51</v>
      </c>
    </row>
    <row r="25" spans="2:27" s="230" customFormat="1">
      <c r="B25" s="216" t="s">
        <v>121</v>
      </c>
      <c r="C25" s="228" t="s">
        <v>70</v>
      </c>
      <c r="D25" s="295">
        <f t="shared" si="8"/>
        <v>0</v>
      </c>
      <c r="E25" s="295">
        <f t="shared" si="8"/>
        <v>19</v>
      </c>
      <c r="F25" s="295">
        <f t="shared" si="8"/>
        <v>0</v>
      </c>
      <c r="G25" s="295">
        <f t="shared" si="8"/>
        <v>8</v>
      </c>
      <c r="H25" s="295">
        <f t="shared" si="8"/>
        <v>0</v>
      </c>
      <c r="I25" s="295">
        <f t="shared" si="8"/>
        <v>0</v>
      </c>
      <c r="J25" s="295">
        <f t="shared" si="8"/>
        <v>0</v>
      </c>
      <c r="K25" s="295">
        <f t="shared" si="8"/>
        <v>0</v>
      </c>
      <c r="L25" s="297">
        <f t="shared" si="8"/>
        <v>0</v>
      </c>
      <c r="M25" s="297">
        <f t="shared" si="8"/>
        <v>0</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54">
        <f>SUM(D25:Y25)</f>
        <v>27</v>
      </c>
    </row>
    <row r="26" spans="2:27" s="230" customFormat="1">
      <c r="B26" s="216" t="s">
        <v>219</v>
      </c>
      <c r="C26" s="228" t="s">
        <v>220</v>
      </c>
      <c r="D26" s="295">
        <f t="shared" si="8"/>
        <v>0</v>
      </c>
      <c r="E26" s="295">
        <f t="shared" si="8"/>
        <v>0</v>
      </c>
      <c r="F26" s="295">
        <f t="shared" si="8"/>
        <v>0</v>
      </c>
      <c r="G26" s="295">
        <f t="shared" si="8"/>
        <v>11</v>
      </c>
      <c r="H26" s="295">
        <f t="shared" si="8"/>
        <v>0</v>
      </c>
      <c r="I26" s="295">
        <f t="shared" si="8"/>
        <v>0</v>
      </c>
      <c r="J26" s="295">
        <f t="shared" si="8"/>
        <v>0</v>
      </c>
      <c r="K26" s="296">
        <f t="shared" si="8"/>
        <v>0</v>
      </c>
      <c r="L26" s="295">
        <f t="shared" si="8"/>
        <v>0</v>
      </c>
      <c r="M26" s="295">
        <f t="shared" si="8"/>
        <v>0</v>
      </c>
      <c r="N26" s="295">
        <f t="shared" si="8"/>
        <v>0</v>
      </c>
      <c r="O26" s="295">
        <f t="shared" si="8"/>
        <v>0</v>
      </c>
      <c r="P26" s="295">
        <f t="shared" si="8"/>
        <v>6</v>
      </c>
      <c r="Q26" s="295">
        <f t="shared" si="8"/>
        <v>0</v>
      </c>
      <c r="R26" s="295">
        <f t="shared" si="8"/>
        <v>0</v>
      </c>
      <c r="S26" s="295">
        <f t="shared" si="8"/>
        <v>0</v>
      </c>
      <c r="T26" s="295">
        <f t="shared" si="8"/>
        <v>0</v>
      </c>
      <c r="U26" s="295">
        <f t="shared" si="8"/>
        <v>13</v>
      </c>
      <c r="V26" s="295">
        <f t="shared" si="8"/>
        <v>0</v>
      </c>
      <c r="W26" s="295">
        <f t="shared" si="8"/>
        <v>0</v>
      </c>
      <c r="X26" s="295">
        <f t="shared" si="8"/>
        <v>0</v>
      </c>
      <c r="Y26" s="295">
        <f t="shared" si="8"/>
        <v>0</v>
      </c>
      <c r="Z26" s="254">
        <f>SUM(D26:Y26)</f>
        <v>30</v>
      </c>
    </row>
    <row r="27" spans="2:27" s="225" customFormat="1">
      <c r="C27" s="255"/>
      <c r="D27" s="194"/>
      <c r="E27" s="194"/>
      <c r="F27" s="194"/>
      <c r="G27" s="226"/>
      <c r="H27" s="194"/>
      <c r="I27" s="194"/>
      <c r="J27" s="194"/>
      <c r="K27" s="194"/>
      <c r="L27" s="194"/>
      <c r="M27" s="194"/>
      <c r="N27" s="194"/>
      <c r="O27" s="194"/>
      <c r="Z27" s="231"/>
    </row>
    <row r="28" spans="2:27" s="225" customFormat="1">
      <c r="C28" s="232"/>
      <c r="E28" s="194"/>
      <c r="F28" s="194"/>
      <c r="G28" s="226"/>
      <c r="H28" s="194"/>
      <c r="I28" s="194"/>
      <c r="J28" s="194"/>
      <c r="K28" s="194"/>
      <c r="L28" s="194"/>
      <c r="M28" s="194"/>
      <c r="N28" s="194"/>
      <c r="O28" s="194"/>
      <c r="Q28" s="194"/>
      <c r="Z28" s="231"/>
    </row>
    <row r="29" spans="2:27" s="225" customFormat="1">
      <c r="E29" s="194"/>
      <c r="F29" s="194"/>
      <c r="G29" s="256"/>
      <c r="H29" s="257"/>
      <c r="I29" s="257"/>
      <c r="J29" s="257"/>
      <c r="K29" s="257"/>
      <c r="L29" s="257"/>
      <c r="M29" s="194"/>
      <c r="N29" s="194"/>
      <c r="O29" s="194"/>
      <c r="Z29" s="231"/>
    </row>
    <row r="30" spans="2:27" s="225" customFormat="1">
      <c r="D30" s="258"/>
      <c r="E30" s="194"/>
      <c r="F30" s="194"/>
      <c r="G30" s="256"/>
      <c r="H30" s="259"/>
      <c r="I30" s="257"/>
      <c r="J30" s="257"/>
      <c r="K30" s="257"/>
      <c r="L30" s="257"/>
      <c r="M30" s="194"/>
      <c r="N30" s="194"/>
      <c r="O30" s="194"/>
      <c r="Z30" s="231"/>
    </row>
    <row r="31" spans="2:27" s="225" customFormat="1">
      <c r="C31" s="257"/>
      <c r="D31" s="256"/>
      <c r="E31" s="194"/>
      <c r="F31" s="194"/>
      <c r="G31" s="256"/>
      <c r="H31" s="257"/>
      <c r="I31" s="257"/>
      <c r="J31" s="257"/>
      <c r="K31" s="257"/>
      <c r="L31" s="257"/>
      <c r="M31" s="194"/>
      <c r="N31" s="194"/>
      <c r="O31" s="194"/>
      <c r="Z31" s="231"/>
    </row>
    <row r="32" spans="2:27" s="234" customFormat="1">
      <c r="C32" s="257"/>
      <c r="D32" s="225"/>
      <c r="E32" s="194"/>
      <c r="F32" s="194"/>
      <c r="G32" s="256"/>
      <c r="H32" s="256"/>
      <c r="I32" s="257"/>
      <c r="J32" s="257"/>
      <c r="K32" s="195"/>
      <c r="L32" s="195"/>
      <c r="M32" s="190"/>
      <c r="N32" s="190"/>
      <c r="O32" s="190"/>
      <c r="P32" s="237"/>
      <c r="Z32" s="180"/>
    </row>
    <row r="33" spans="3:26" s="234" customFormat="1">
      <c r="C33" s="257"/>
      <c r="D33" s="257"/>
      <c r="E33" s="194"/>
      <c r="F33" s="194"/>
      <c r="G33" s="256"/>
      <c r="H33" s="257"/>
      <c r="I33" s="257"/>
      <c r="J33" s="257"/>
      <c r="K33" s="195"/>
      <c r="L33" s="195"/>
      <c r="M33" s="190"/>
      <c r="N33" s="190"/>
      <c r="O33" s="190"/>
      <c r="P33" s="237"/>
      <c r="Z33" s="180"/>
    </row>
    <row r="34" spans="3:26" s="234" customFormat="1">
      <c r="C34" s="257"/>
      <c r="D34" s="257"/>
      <c r="E34" s="194"/>
      <c r="F34" s="194"/>
      <c r="G34" s="256"/>
      <c r="H34" s="256"/>
      <c r="I34" s="257"/>
      <c r="J34" s="257"/>
      <c r="K34" s="195"/>
      <c r="L34" s="195"/>
      <c r="M34" s="190"/>
      <c r="N34" s="190"/>
      <c r="O34" s="190"/>
      <c r="P34" s="237"/>
      <c r="Z34" s="180"/>
    </row>
    <row r="35" spans="3:26" s="234" customFormat="1">
      <c r="C35" s="257"/>
      <c r="D35" s="257"/>
      <c r="E35" s="194"/>
      <c r="F35" s="194"/>
      <c r="G35" s="256"/>
      <c r="H35" s="260"/>
      <c r="I35" s="257"/>
      <c r="J35" s="257"/>
      <c r="K35" s="195"/>
      <c r="L35" s="195"/>
      <c r="M35" s="190"/>
      <c r="N35" s="190"/>
      <c r="O35" s="190"/>
      <c r="P35" s="237"/>
      <c r="Z35" s="180"/>
    </row>
    <row r="36" spans="3:26" s="234" customFormat="1">
      <c r="C36" s="257"/>
      <c r="D36" s="225"/>
      <c r="E36" s="194"/>
      <c r="F36" s="194"/>
      <c r="G36" s="256"/>
      <c r="H36" s="257"/>
      <c r="I36" s="257"/>
      <c r="J36" s="257"/>
      <c r="K36" s="195"/>
      <c r="L36" s="195"/>
      <c r="M36" s="190"/>
      <c r="N36" s="190"/>
      <c r="O36" s="190"/>
      <c r="P36" s="237"/>
      <c r="Z36" s="180"/>
    </row>
    <row r="37" spans="3:26" s="234" customFormat="1">
      <c r="C37" s="257"/>
      <c r="D37" s="256"/>
      <c r="E37" s="233"/>
      <c r="F37" s="233"/>
      <c r="G37" s="260"/>
      <c r="H37" s="256"/>
      <c r="I37" s="257"/>
      <c r="J37" s="257"/>
      <c r="K37" s="195"/>
      <c r="L37" s="195"/>
      <c r="M37" s="190"/>
      <c r="N37" s="190"/>
      <c r="O37" s="190"/>
      <c r="P37" s="237"/>
      <c r="Z37" s="180"/>
    </row>
    <row r="38" spans="3:26" s="234" customFormat="1">
      <c r="C38" s="257"/>
      <c r="D38" s="257"/>
      <c r="E38" s="233"/>
      <c r="F38" s="233"/>
      <c r="G38" s="260"/>
      <c r="H38" s="257"/>
      <c r="I38" s="257"/>
      <c r="J38" s="257"/>
      <c r="K38" s="195"/>
      <c r="L38" s="195"/>
      <c r="M38" s="190"/>
      <c r="N38" s="190"/>
      <c r="O38" s="190"/>
      <c r="P38" s="237"/>
      <c r="Z38" s="180"/>
    </row>
    <row r="39" spans="3:26" s="234" customFormat="1">
      <c r="C39" s="225"/>
      <c r="D39" s="256"/>
      <c r="E39" s="233"/>
      <c r="F39" s="233"/>
      <c r="G39" s="260"/>
      <c r="H39" s="256"/>
      <c r="I39" s="257"/>
      <c r="J39" s="257"/>
      <c r="K39" s="195"/>
      <c r="L39" s="195"/>
      <c r="M39" s="190"/>
      <c r="N39" s="190"/>
      <c r="O39" s="190"/>
      <c r="P39" s="237"/>
      <c r="Z39" s="180"/>
    </row>
    <row r="40" spans="3:26" s="234" customFormat="1">
      <c r="C40" s="233"/>
      <c r="D40" s="257"/>
      <c r="E40" s="233"/>
      <c r="F40" s="233"/>
      <c r="G40" s="260"/>
      <c r="H40" s="257"/>
      <c r="I40" s="257"/>
      <c r="J40" s="257"/>
      <c r="K40" s="195"/>
      <c r="L40" s="195"/>
      <c r="M40" s="190"/>
      <c r="N40" s="190"/>
      <c r="O40" s="190"/>
      <c r="P40" s="237"/>
      <c r="Z40" s="180"/>
    </row>
    <row r="41" spans="3:26" s="234" customFormat="1">
      <c r="C41" s="233"/>
      <c r="D41" s="257"/>
      <c r="E41" s="233"/>
      <c r="F41" s="233"/>
      <c r="G41" s="260"/>
      <c r="H41" s="256"/>
      <c r="I41" s="257"/>
      <c r="J41" s="257"/>
      <c r="K41" s="195"/>
      <c r="L41" s="195"/>
      <c r="M41" s="190"/>
      <c r="N41" s="190"/>
      <c r="O41" s="190"/>
      <c r="P41" s="237"/>
      <c r="Z41" s="180"/>
    </row>
    <row r="42" spans="3:26" s="234" customFormat="1">
      <c r="C42" s="233"/>
      <c r="D42" s="256"/>
      <c r="E42" s="233"/>
      <c r="F42" s="233"/>
      <c r="G42" s="260"/>
      <c r="H42" s="260"/>
      <c r="I42" s="257"/>
      <c r="J42" s="257"/>
      <c r="K42" s="195"/>
      <c r="L42" s="195"/>
      <c r="M42" s="190"/>
      <c r="N42" s="190"/>
      <c r="O42" s="190"/>
      <c r="P42" s="237"/>
      <c r="Z42" s="180"/>
    </row>
    <row r="43" spans="3:26" s="234" customFormat="1">
      <c r="C43" s="233"/>
      <c r="D43" s="257"/>
      <c r="E43" s="233"/>
      <c r="F43" s="233"/>
      <c r="G43" s="260"/>
      <c r="H43" s="256"/>
      <c r="I43" s="257"/>
      <c r="J43" s="257"/>
      <c r="K43" s="195"/>
      <c r="L43" s="195"/>
      <c r="M43" s="190"/>
      <c r="N43" s="190"/>
      <c r="O43" s="190"/>
      <c r="P43" s="237"/>
      <c r="Z43" s="180"/>
    </row>
    <row r="44" spans="3:26" s="234" customFormat="1">
      <c r="C44" s="233"/>
      <c r="D44" s="256"/>
      <c r="E44" s="233"/>
      <c r="F44" s="233"/>
      <c r="G44" s="260"/>
      <c r="H44" s="256"/>
      <c r="I44" s="257"/>
      <c r="J44" s="257"/>
      <c r="K44" s="195"/>
      <c r="L44" s="195"/>
      <c r="M44" s="190"/>
      <c r="N44" s="190"/>
      <c r="O44" s="190"/>
      <c r="P44" s="237"/>
      <c r="Z44" s="180"/>
    </row>
    <row r="45" spans="3:26" s="234" customFormat="1">
      <c r="C45" s="233"/>
      <c r="D45" s="256"/>
      <c r="E45" s="233"/>
      <c r="F45" s="233"/>
      <c r="G45" s="260"/>
      <c r="H45" s="256"/>
      <c r="I45" s="257"/>
      <c r="J45" s="257"/>
      <c r="K45" s="195"/>
      <c r="L45" s="195"/>
      <c r="M45" s="190"/>
      <c r="N45" s="190"/>
      <c r="O45" s="190"/>
      <c r="P45" s="237"/>
      <c r="Z45" s="180"/>
    </row>
    <row r="46" spans="3:26" s="234" customFormat="1">
      <c r="C46" s="233"/>
      <c r="D46" s="257"/>
      <c r="E46" s="233"/>
      <c r="F46" s="233"/>
      <c r="G46" s="260"/>
      <c r="H46" s="256"/>
      <c r="I46" s="257"/>
      <c r="J46" s="257"/>
      <c r="K46" s="195"/>
      <c r="L46" s="195"/>
      <c r="M46" s="190"/>
      <c r="N46" s="190"/>
      <c r="O46" s="190"/>
      <c r="P46" s="237"/>
      <c r="Z46" s="180"/>
    </row>
    <row r="47" spans="3:26" s="234" customFormat="1">
      <c r="C47" s="233"/>
      <c r="D47" s="233"/>
      <c r="E47" s="233"/>
      <c r="F47" s="233"/>
      <c r="G47" s="260"/>
      <c r="H47" s="257"/>
      <c r="I47" s="257"/>
      <c r="J47" s="257"/>
      <c r="K47" s="195"/>
      <c r="L47" s="195"/>
      <c r="M47" s="190"/>
      <c r="N47" s="190"/>
      <c r="O47" s="190"/>
      <c r="P47" s="237"/>
      <c r="Z47" s="180"/>
    </row>
    <row r="48" spans="3:26" s="234" customFormat="1">
      <c r="C48" s="233"/>
      <c r="D48" s="233"/>
      <c r="E48" s="233"/>
      <c r="F48" s="233"/>
      <c r="G48" s="260"/>
      <c r="H48" s="257"/>
      <c r="I48" s="257"/>
      <c r="J48" s="257"/>
      <c r="K48" s="195"/>
      <c r="L48" s="195"/>
      <c r="M48" s="190"/>
      <c r="N48" s="190"/>
      <c r="O48" s="190"/>
      <c r="P48" s="237"/>
      <c r="Z48" s="180"/>
    </row>
    <row r="49" spans="3:26" s="234" customFormat="1">
      <c r="C49" s="261"/>
      <c r="D49" s="262" t="s">
        <v>17</v>
      </c>
      <c r="E49" s="263"/>
      <c r="F49" s="263"/>
      <c r="G49" s="264"/>
      <c r="H49" s="265" t="s">
        <v>18</v>
      </c>
      <c r="I49" s="195"/>
      <c r="J49" s="195"/>
      <c r="K49" s="195"/>
      <c r="L49" s="195"/>
      <c r="M49" s="190"/>
      <c r="N49" s="190"/>
      <c r="O49" s="190"/>
      <c r="P49" s="237"/>
      <c r="Z49" s="180"/>
    </row>
    <row r="50" spans="3:26" s="234" customFormat="1">
      <c r="C50" s="261"/>
      <c r="D50" s="263">
        <v>6</v>
      </c>
      <c r="E50" s="263"/>
      <c r="F50" s="263"/>
      <c r="G50" s="264"/>
      <c r="H50" s="190">
        <v>11</v>
      </c>
      <c r="I50" s="190"/>
      <c r="J50" s="190"/>
      <c r="K50" s="190"/>
      <c r="L50" s="190"/>
      <c r="M50" s="190"/>
      <c r="N50" s="190"/>
      <c r="O50" s="190"/>
      <c r="P50" s="237"/>
      <c r="Z50" s="180"/>
    </row>
    <row r="51" spans="3:26" s="234" customFormat="1">
      <c r="C51" s="193"/>
      <c r="D51" s="235"/>
      <c r="E51" s="235"/>
      <c r="F51" s="235"/>
      <c r="G51" s="236"/>
      <c r="H51" s="190"/>
      <c r="I51" s="190"/>
      <c r="J51" s="190"/>
      <c r="K51" s="190"/>
      <c r="L51" s="190"/>
      <c r="M51" s="190"/>
      <c r="N51" s="190"/>
      <c r="O51" s="190"/>
      <c r="P51" s="237"/>
      <c r="Z51" s="180"/>
    </row>
    <row r="52" spans="3:26" s="234" customFormat="1">
      <c r="C52" s="193"/>
      <c r="D52" s="235"/>
      <c r="E52" s="235"/>
      <c r="F52" s="235"/>
      <c r="G52" s="236"/>
      <c r="H52" s="190"/>
      <c r="I52" s="190"/>
      <c r="J52" s="190"/>
      <c r="K52" s="190"/>
      <c r="L52" s="190"/>
      <c r="M52" s="190"/>
      <c r="N52" s="190"/>
      <c r="O52" s="190"/>
      <c r="P52" s="237"/>
      <c r="Z52" s="180"/>
    </row>
    <row r="53" spans="3:26" s="234" customFormat="1">
      <c r="C53" s="193"/>
      <c r="D53" s="235"/>
      <c r="E53" s="235"/>
      <c r="F53" s="235"/>
      <c r="G53" s="236"/>
      <c r="H53" s="190"/>
      <c r="I53" s="190"/>
      <c r="J53" s="190"/>
      <c r="K53" s="190"/>
      <c r="L53" s="190"/>
      <c r="M53" s="190"/>
      <c r="N53" s="190"/>
      <c r="O53" s="190"/>
      <c r="P53" s="237"/>
      <c r="Z53" s="180"/>
    </row>
    <row r="54" spans="3:26" s="234" customFormat="1">
      <c r="C54" s="193"/>
      <c r="D54" s="235"/>
      <c r="E54" s="235"/>
      <c r="F54" s="235"/>
      <c r="G54" s="236"/>
      <c r="H54" s="190"/>
      <c r="I54" s="190"/>
      <c r="J54" s="190"/>
      <c r="K54" s="190"/>
      <c r="L54" s="190"/>
      <c r="M54" s="190"/>
      <c r="N54" s="190"/>
      <c r="O54" s="190"/>
      <c r="P54" s="237"/>
      <c r="Z54" s="180"/>
    </row>
    <row r="55" spans="3:26" s="234" customFormat="1">
      <c r="C55" s="193"/>
      <c r="D55" s="235"/>
      <c r="E55" s="235"/>
      <c r="F55" s="235"/>
      <c r="G55" s="236"/>
      <c r="H55" s="190"/>
      <c r="I55" s="190"/>
      <c r="J55" s="190"/>
      <c r="K55" s="190"/>
      <c r="L55" s="190"/>
      <c r="M55" s="190"/>
      <c r="N55" s="190"/>
      <c r="O55" s="190"/>
      <c r="P55" s="237"/>
      <c r="Z55" s="180"/>
    </row>
    <row r="56" spans="3:26" s="234" customFormat="1">
      <c r="C56" s="193"/>
      <c r="D56" s="235"/>
      <c r="E56" s="235"/>
      <c r="F56" s="235"/>
      <c r="G56" s="236"/>
      <c r="H56" s="190"/>
      <c r="I56" s="190"/>
      <c r="J56" s="190"/>
      <c r="K56" s="190"/>
      <c r="L56" s="190"/>
      <c r="M56" s="190"/>
      <c r="N56" s="190"/>
      <c r="O56" s="190"/>
      <c r="P56" s="237"/>
      <c r="Z56" s="180"/>
    </row>
    <row r="57" spans="3:26" s="234" customFormat="1">
      <c r="C57" s="193"/>
      <c r="D57" s="235"/>
      <c r="E57" s="235"/>
      <c r="F57" s="235"/>
      <c r="G57" s="236"/>
      <c r="H57" s="190"/>
      <c r="I57" s="190"/>
      <c r="J57" s="190"/>
      <c r="K57" s="190"/>
      <c r="L57" s="190"/>
      <c r="M57" s="190"/>
      <c r="N57" s="190"/>
      <c r="O57" s="190"/>
      <c r="P57" s="237"/>
      <c r="Z57" s="180"/>
    </row>
    <row r="58" spans="3:26" s="234" customFormat="1">
      <c r="C58" s="193"/>
      <c r="D58" s="235"/>
      <c r="E58" s="235"/>
      <c r="F58" s="235"/>
      <c r="G58" s="236"/>
      <c r="H58" s="190"/>
      <c r="I58" s="190"/>
      <c r="J58" s="190"/>
      <c r="K58" s="190"/>
      <c r="L58" s="190"/>
      <c r="M58" s="190"/>
      <c r="N58" s="190"/>
      <c r="O58" s="190"/>
      <c r="P58" s="237"/>
      <c r="Z58" s="180"/>
    </row>
    <row r="59" spans="3:26" s="234" customFormat="1">
      <c r="C59" s="193"/>
      <c r="D59" s="235"/>
      <c r="E59" s="235"/>
      <c r="F59" s="235"/>
      <c r="G59" s="236"/>
      <c r="H59" s="190"/>
      <c r="I59" s="190"/>
      <c r="J59" s="190"/>
      <c r="K59" s="190"/>
      <c r="L59" s="190"/>
      <c r="M59" s="190"/>
      <c r="N59" s="190"/>
      <c r="O59" s="190"/>
      <c r="P59" s="237"/>
      <c r="Z59" s="180"/>
    </row>
    <row r="60" spans="3:26" s="234" customFormat="1">
      <c r="C60" s="193"/>
      <c r="D60" s="235"/>
      <c r="E60" s="235"/>
      <c r="F60" s="235"/>
      <c r="G60" s="236"/>
      <c r="H60" s="190"/>
      <c r="I60" s="190"/>
      <c r="J60" s="190"/>
      <c r="K60" s="190"/>
      <c r="L60" s="190"/>
      <c r="M60" s="190"/>
      <c r="N60" s="190"/>
      <c r="O60" s="190"/>
      <c r="P60" s="237"/>
      <c r="Z60" s="180"/>
    </row>
    <row r="61" spans="3:26" s="234" customFormat="1">
      <c r="C61" s="193"/>
      <c r="D61" s="235"/>
      <c r="E61" s="235"/>
      <c r="F61" s="235"/>
      <c r="G61" s="236"/>
      <c r="H61" s="190"/>
      <c r="I61" s="190"/>
      <c r="J61" s="190"/>
      <c r="K61" s="190"/>
      <c r="L61" s="190"/>
      <c r="M61" s="190"/>
      <c r="N61" s="190"/>
      <c r="O61" s="190"/>
      <c r="P61" s="237"/>
      <c r="Z61" s="180"/>
    </row>
    <row r="62" spans="3:26" s="234" customFormat="1">
      <c r="C62" s="193"/>
      <c r="D62" s="235"/>
      <c r="E62" s="235"/>
      <c r="F62" s="235"/>
      <c r="G62" s="236"/>
      <c r="H62" s="190"/>
      <c r="I62" s="190"/>
      <c r="J62" s="190"/>
      <c r="K62" s="190"/>
      <c r="L62" s="190"/>
      <c r="M62" s="190"/>
      <c r="N62" s="190"/>
      <c r="O62" s="190"/>
      <c r="P62" s="237"/>
      <c r="Z62" s="180"/>
    </row>
    <row r="63" spans="3:26" s="234" customFormat="1">
      <c r="C63" s="193"/>
      <c r="D63" s="235"/>
      <c r="E63" s="235"/>
      <c r="F63" s="235"/>
      <c r="G63" s="236"/>
      <c r="H63" s="190"/>
      <c r="I63" s="190"/>
      <c r="J63" s="190"/>
      <c r="K63" s="190"/>
      <c r="L63" s="190"/>
      <c r="M63" s="190"/>
      <c r="N63" s="190"/>
      <c r="O63" s="190"/>
      <c r="P63" s="237"/>
      <c r="Z63" s="180"/>
    </row>
    <row r="64" spans="3:26" s="234" customFormat="1">
      <c r="C64" s="193"/>
      <c r="D64" s="235"/>
      <c r="E64" s="235"/>
      <c r="F64" s="235"/>
      <c r="G64" s="236"/>
      <c r="H64" s="190"/>
      <c r="I64" s="190"/>
      <c r="J64" s="190"/>
      <c r="K64" s="190"/>
      <c r="L64" s="190"/>
      <c r="M64" s="190"/>
      <c r="N64" s="190"/>
      <c r="O64" s="190"/>
      <c r="P64" s="237"/>
      <c r="Z64" s="180"/>
    </row>
    <row r="65" spans="3:26" s="234" customFormat="1">
      <c r="C65" s="193"/>
      <c r="D65" s="235"/>
      <c r="E65" s="235"/>
      <c r="F65" s="235"/>
      <c r="G65" s="236"/>
      <c r="H65" s="190"/>
      <c r="I65" s="190"/>
      <c r="J65" s="190"/>
      <c r="K65" s="190"/>
      <c r="L65" s="190"/>
      <c r="M65" s="190"/>
      <c r="N65" s="190"/>
      <c r="O65" s="190"/>
      <c r="P65" s="237"/>
      <c r="Z65" s="180"/>
    </row>
    <row r="66" spans="3:26" s="234" customFormat="1">
      <c r="C66" s="193"/>
      <c r="D66" s="235"/>
      <c r="E66" s="235"/>
      <c r="F66" s="235"/>
      <c r="G66" s="236"/>
      <c r="H66" s="190"/>
      <c r="I66" s="190"/>
      <c r="J66" s="190"/>
      <c r="K66" s="190"/>
      <c r="L66" s="190"/>
      <c r="M66" s="190"/>
      <c r="N66" s="190"/>
      <c r="O66" s="190"/>
      <c r="P66" s="237"/>
      <c r="Z66" s="180"/>
    </row>
    <row r="67" spans="3:26" s="234" customFormat="1">
      <c r="C67" s="193"/>
      <c r="D67" s="235"/>
      <c r="E67" s="235"/>
      <c r="F67" s="235"/>
      <c r="G67" s="236"/>
      <c r="H67" s="190"/>
      <c r="I67" s="190"/>
      <c r="J67" s="190"/>
      <c r="K67" s="190"/>
      <c r="L67" s="190"/>
      <c r="M67" s="190"/>
      <c r="N67" s="190"/>
      <c r="O67" s="190"/>
      <c r="P67" s="237"/>
      <c r="Z67" s="180"/>
    </row>
    <row r="68" spans="3:26" s="234" customFormat="1">
      <c r="C68" s="193"/>
      <c r="D68" s="235"/>
      <c r="E68" s="235"/>
      <c r="F68" s="235"/>
      <c r="G68" s="236"/>
      <c r="H68" s="190"/>
      <c r="I68" s="190"/>
      <c r="J68" s="190"/>
      <c r="K68" s="190"/>
      <c r="L68" s="190"/>
      <c r="M68" s="190"/>
      <c r="N68" s="190"/>
      <c r="O68" s="190"/>
      <c r="P68" s="237"/>
      <c r="Z68" s="180"/>
    </row>
    <row r="69" spans="3:26" s="234" customFormat="1">
      <c r="C69" s="193"/>
      <c r="D69" s="235"/>
      <c r="E69" s="235"/>
      <c r="F69" s="235"/>
      <c r="G69" s="236"/>
      <c r="H69" s="190"/>
      <c r="I69" s="190"/>
      <c r="J69" s="190"/>
      <c r="K69" s="190"/>
      <c r="L69" s="190"/>
      <c r="M69" s="190"/>
      <c r="N69" s="190"/>
      <c r="O69" s="190"/>
      <c r="P69" s="237"/>
      <c r="Z69" s="180"/>
    </row>
    <row r="70" spans="3:26" s="234" customFormat="1">
      <c r="C70" s="193"/>
      <c r="D70" s="235"/>
      <c r="E70" s="235"/>
      <c r="F70" s="235"/>
      <c r="G70" s="236"/>
      <c r="H70" s="190"/>
      <c r="I70" s="190"/>
      <c r="J70" s="190"/>
      <c r="K70" s="190"/>
      <c r="L70" s="190"/>
      <c r="M70" s="190"/>
      <c r="N70" s="190"/>
      <c r="O70" s="190"/>
      <c r="P70" s="237"/>
      <c r="Z70" s="180"/>
    </row>
    <row r="71" spans="3:26" s="234" customFormat="1">
      <c r="C71" s="193"/>
      <c r="D71" s="235"/>
      <c r="E71" s="235"/>
      <c r="F71" s="235"/>
      <c r="G71" s="236"/>
      <c r="H71" s="190"/>
      <c r="I71" s="190"/>
      <c r="J71" s="190"/>
      <c r="K71" s="190"/>
      <c r="L71" s="190"/>
      <c r="M71" s="190"/>
      <c r="N71" s="190"/>
      <c r="O71" s="190"/>
      <c r="P71" s="237"/>
      <c r="Z71" s="180"/>
    </row>
  </sheetData>
  <sheetProtection selectLockedCells="1"/>
  <phoneticPr fontId="0"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12"/>
  </sheetPr>
  <dimension ref="B1:AE101"/>
  <sheetViews>
    <sheetView showZeros="0" workbookViewId="0">
      <selection activeCell="K8" sqref="K8:K12"/>
    </sheetView>
  </sheetViews>
  <sheetFormatPr defaultRowHeight="12.75"/>
  <cols>
    <col min="1" max="1" width="2.7109375" style="158" customWidth="1"/>
    <col min="2" max="2" width="8.85546875" style="158" customWidth="1"/>
    <col min="3" max="3" width="13" style="274" customWidth="1"/>
    <col min="4" max="6" width="5" style="159" customWidth="1"/>
    <col min="7" max="7" width="5" style="191" customWidth="1"/>
    <col min="8" max="15" width="5" style="179" customWidth="1"/>
    <col min="16" max="16" width="5" style="177" customWidth="1"/>
    <col min="17" max="25" width="5" style="158" customWidth="1"/>
    <col min="26" max="26" width="5" style="162" customWidth="1"/>
    <col min="27" max="27" width="15" style="158" customWidth="1"/>
    <col min="28" max="16384" width="9.140625" style="158"/>
  </cols>
  <sheetData>
    <row r="1" spans="2:27">
      <c r="C1" s="197" t="s">
        <v>166</v>
      </c>
    </row>
    <row r="2" spans="2:27">
      <c r="C2" s="163"/>
      <c r="G2" s="179"/>
    </row>
    <row r="3" spans="2:27" s="177" customFormat="1" ht="13.5" thickBot="1">
      <c r="C3" s="215" t="s">
        <v>167</v>
      </c>
      <c r="D3" s="161" t="str">
        <f>Score!C1</f>
        <v>P</v>
      </c>
      <c r="E3" s="161">
        <f>Score!D1</f>
        <v>1</v>
      </c>
      <c r="F3" s="161">
        <f>Score!E1</f>
        <v>2</v>
      </c>
      <c r="G3" s="161">
        <f>Score!F1</f>
        <v>3</v>
      </c>
      <c r="H3" s="161">
        <f>Score!G1</f>
        <v>4</v>
      </c>
      <c r="I3" s="161">
        <f>Score!H1</f>
        <v>5</v>
      </c>
      <c r="J3" s="161">
        <f>Score!I1</f>
        <v>6</v>
      </c>
      <c r="K3" s="161">
        <f>Score!J1</f>
        <v>7</v>
      </c>
      <c r="L3" s="161">
        <f>Score!K1</f>
        <v>8</v>
      </c>
      <c r="M3" s="161">
        <f>Score!L1</f>
        <v>9</v>
      </c>
      <c r="N3" s="161">
        <f>Score!M1</f>
        <v>10</v>
      </c>
      <c r="O3" s="161">
        <f>Score!N1</f>
        <v>11</v>
      </c>
      <c r="P3" s="161">
        <f>Score!O1</f>
        <v>12</v>
      </c>
      <c r="Q3" s="161">
        <f>Score!P1</f>
        <v>13</v>
      </c>
      <c r="R3" s="161">
        <f>Score!Q1</f>
        <v>14</v>
      </c>
      <c r="S3" s="161">
        <f>Score!R1</f>
        <v>15</v>
      </c>
      <c r="T3" s="161">
        <f>Score!S1</f>
        <v>16</v>
      </c>
      <c r="U3" s="161">
        <f>Score!T1</f>
        <v>17</v>
      </c>
      <c r="V3" s="161">
        <f>Score!U1</f>
        <v>18</v>
      </c>
      <c r="W3" s="161">
        <f>Score!V1</f>
        <v>19</v>
      </c>
      <c r="X3" s="161">
        <f>Score!W1</f>
        <v>20</v>
      </c>
      <c r="Y3" s="161" t="s">
        <v>1</v>
      </c>
      <c r="Z3" s="197"/>
    </row>
    <row r="4" spans="2:27">
      <c r="B4" s="216" t="s">
        <v>144</v>
      </c>
      <c r="C4" s="217" t="s">
        <v>82</v>
      </c>
      <c r="D4" s="159">
        <f t="shared" ref="D4:M13" si="0">INDEX(scorematrix,MATCH($C4,renners,0),MATCH(D$3,etappes,0))</f>
        <v>0</v>
      </c>
      <c r="E4" s="159">
        <f t="shared" si="0"/>
        <v>0</v>
      </c>
      <c r="F4" s="159">
        <f t="shared" si="0"/>
        <v>0</v>
      </c>
      <c r="G4" s="159">
        <f t="shared" si="0"/>
        <v>0</v>
      </c>
      <c r="H4" s="159">
        <f t="shared" si="0"/>
        <v>0</v>
      </c>
      <c r="I4" s="159">
        <f t="shared" si="0"/>
        <v>0</v>
      </c>
      <c r="J4" s="159">
        <f t="shared" si="0"/>
        <v>0</v>
      </c>
      <c r="K4" s="159">
        <f t="shared" si="0"/>
        <v>0</v>
      </c>
      <c r="L4" s="159">
        <f t="shared" si="0"/>
        <v>0</v>
      </c>
      <c r="M4" s="159">
        <f t="shared" si="0"/>
        <v>14</v>
      </c>
      <c r="N4" s="159">
        <f t="shared" ref="N4:Y13" si="1">INDEX(scorematrix,MATCH($C4,renners,0),MATCH(N$3,etappes,0))</f>
        <v>0</v>
      </c>
      <c r="O4" s="159">
        <f t="shared" si="1"/>
        <v>0</v>
      </c>
      <c r="P4" s="159">
        <f t="shared" si="1"/>
        <v>0</v>
      </c>
      <c r="Q4" s="159">
        <f t="shared" si="1"/>
        <v>0</v>
      </c>
      <c r="R4" s="159">
        <f t="shared" si="1"/>
        <v>0</v>
      </c>
      <c r="S4" s="159">
        <f t="shared" si="1"/>
        <v>0</v>
      </c>
      <c r="T4" s="159">
        <f t="shared" si="1"/>
        <v>0</v>
      </c>
      <c r="U4" s="159">
        <f t="shared" si="1"/>
        <v>0</v>
      </c>
      <c r="V4" s="159">
        <f t="shared" si="1"/>
        <v>0</v>
      </c>
      <c r="W4" s="159">
        <f t="shared" si="1"/>
        <v>0</v>
      </c>
      <c r="X4" s="159">
        <f t="shared" si="1"/>
        <v>0</v>
      </c>
      <c r="Y4" s="159">
        <f t="shared" si="1"/>
        <v>0</v>
      </c>
      <c r="Z4" s="164">
        <f t="shared" ref="Z4:Z21" si="2">SUM(D4:Y4)</f>
        <v>14</v>
      </c>
      <c r="AA4" s="158" t="str">
        <f t="shared" ref="AA4:AA18" si="3">C4</f>
        <v>Martin</v>
      </c>
    </row>
    <row r="5" spans="2:27">
      <c r="B5" s="216" t="s">
        <v>71</v>
      </c>
      <c r="C5" s="217" t="s">
        <v>72</v>
      </c>
      <c r="D5" s="159">
        <f t="shared" si="0"/>
        <v>43</v>
      </c>
      <c r="E5" s="159">
        <f t="shared" si="0"/>
        <v>19</v>
      </c>
      <c r="F5" s="159">
        <f t="shared" si="0"/>
        <v>9</v>
      </c>
      <c r="G5" s="159">
        <f t="shared" si="0"/>
        <v>9</v>
      </c>
      <c r="H5" s="159">
        <f t="shared" si="0"/>
        <v>9</v>
      </c>
      <c r="I5" s="159">
        <f t="shared" si="0"/>
        <v>17</v>
      </c>
      <c r="J5" s="159">
        <f t="shared" si="0"/>
        <v>9</v>
      </c>
      <c r="K5" s="159">
        <f t="shared" si="0"/>
        <v>39</v>
      </c>
      <c r="L5" s="159">
        <f t="shared" si="0"/>
        <v>35</v>
      </c>
      <c r="M5" s="159">
        <f t="shared" si="0"/>
        <v>46</v>
      </c>
      <c r="N5" s="159">
        <f t="shared" si="1"/>
        <v>23</v>
      </c>
      <c r="O5" s="159">
        <f t="shared" si="1"/>
        <v>30</v>
      </c>
      <c r="P5" s="159">
        <f t="shared" si="1"/>
        <v>24</v>
      </c>
      <c r="Q5" s="159">
        <f t="shared" si="1"/>
        <v>24</v>
      </c>
      <c r="R5" s="159">
        <f t="shared" si="1"/>
        <v>21</v>
      </c>
      <c r="S5" s="159">
        <f t="shared" si="1"/>
        <v>10</v>
      </c>
      <c r="T5" s="159">
        <f t="shared" si="1"/>
        <v>24</v>
      </c>
      <c r="U5" s="159">
        <f t="shared" si="1"/>
        <v>36</v>
      </c>
      <c r="V5" s="159">
        <f t="shared" si="1"/>
        <v>17</v>
      </c>
      <c r="W5" s="159">
        <f t="shared" si="1"/>
        <v>45</v>
      </c>
      <c r="X5" s="159">
        <f t="shared" si="1"/>
        <v>10</v>
      </c>
      <c r="Y5" s="159">
        <f t="shared" si="1"/>
        <v>70</v>
      </c>
      <c r="Z5" s="164">
        <f t="shared" si="2"/>
        <v>569</v>
      </c>
      <c r="AA5" s="158" t="str">
        <f t="shared" si="3"/>
        <v>Wiggins</v>
      </c>
    </row>
    <row r="6" spans="2:27">
      <c r="B6" s="216" t="s">
        <v>141</v>
      </c>
      <c r="C6" s="217" t="s">
        <v>81</v>
      </c>
      <c r="D6" s="159">
        <f t="shared" si="0"/>
        <v>13</v>
      </c>
      <c r="E6" s="159">
        <f t="shared" si="0"/>
        <v>9</v>
      </c>
      <c r="F6" s="159">
        <f t="shared" si="0"/>
        <v>3</v>
      </c>
      <c r="G6" s="159">
        <f t="shared" si="0"/>
        <v>24</v>
      </c>
      <c r="H6" s="159">
        <f t="shared" si="0"/>
        <v>4</v>
      </c>
      <c r="I6" s="159">
        <f t="shared" si="0"/>
        <v>4</v>
      </c>
      <c r="J6" s="159">
        <f t="shared" si="0"/>
        <v>17</v>
      </c>
      <c r="K6" s="159">
        <f t="shared" si="0"/>
        <v>43</v>
      </c>
      <c r="L6" s="159">
        <f t="shared" si="0"/>
        <v>42</v>
      </c>
      <c r="M6" s="159">
        <f t="shared" si="0"/>
        <v>32</v>
      </c>
      <c r="N6" s="159">
        <f t="shared" si="1"/>
        <v>23</v>
      </c>
      <c r="O6" s="159">
        <f t="shared" si="1"/>
        <v>22</v>
      </c>
      <c r="P6" s="159">
        <f t="shared" si="1"/>
        <v>25</v>
      </c>
      <c r="Q6" s="159">
        <f t="shared" si="1"/>
        <v>17</v>
      </c>
      <c r="R6" s="159">
        <f t="shared" si="1"/>
        <v>17</v>
      </c>
      <c r="S6" s="159">
        <f t="shared" si="1"/>
        <v>7</v>
      </c>
      <c r="T6" s="159">
        <f t="shared" si="1"/>
        <v>4</v>
      </c>
      <c r="U6" s="159">
        <f t="shared" si="1"/>
        <v>13</v>
      </c>
      <c r="V6" s="159">
        <f t="shared" si="1"/>
        <v>5</v>
      </c>
      <c r="W6" s="159">
        <f t="shared" si="1"/>
        <v>4</v>
      </c>
      <c r="X6" s="159">
        <f t="shared" si="1"/>
        <v>4</v>
      </c>
      <c r="Y6" s="159">
        <f t="shared" si="1"/>
        <v>38</v>
      </c>
      <c r="Z6" s="164">
        <f t="shared" si="2"/>
        <v>370</v>
      </c>
      <c r="AA6" s="158" t="str">
        <f t="shared" si="3"/>
        <v>Evans</v>
      </c>
    </row>
    <row r="7" spans="2:27" ht="13.15" customHeight="1">
      <c r="B7" s="216" t="s">
        <v>160</v>
      </c>
      <c r="C7" s="217" t="s">
        <v>161</v>
      </c>
      <c r="D7" s="159">
        <f t="shared" si="0"/>
        <v>0</v>
      </c>
      <c r="E7" s="159">
        <f t="shared" si="0"/>
        <v>15</v>
      </c>
      <c r="F7" s="159">
        <f t="shared" si="0"/>
        <v>0</v>
      </c>
      <c r="G7" s="159">
        <f t="shared" si="0"/>
        <v>0</v>
      </c>
      <c r="H7" s="159">
        <f t="shared" si="0"/>
        <v>0</v>
      </c>
      <c r="I7" s="159">
        <f t="shared" si="0"/>
        <v>0</v>
      </c>
      <c r="J7" s="159">
        <f t="shared" si="0"/>
        <v>0</v>
      </c>
      <c r="K7" s="159">
        <f t="shared" si="0"/>
        <v>0</v>
      </c>
      <c r="L7" s="159">
        <f t="shared" si="0"/>
        <v>23</v>
      </c>
      <c r="M7" s="159">
        <f t="shared" si="0"/>
        <v>2</v>
      </c>
      <c r="N7" s="159">
        <f t="shared" si="1"/>
        <v>20</v>
      </c>
      <c r="O7" s="159">
        <f t="shared" si="1"/>
        <v>30</v>
      </c>
      <c r="P7" s="159">
        <f t="shared" si="1"/>
        <v>14</v>
      </c>
      <c r="Q7" s="159">
        <f t="shared" si="1"/>
        <v>15</v>
      </c>
      <c r="R7" s="159">
        <f t="shared" si="1"/>
        <v>6</v>
      </c>
      <c r="S7" s="159">
        <f t="shared" si="1"/>
        <v>6</v>
      </c>
      <c r="T7" s="159">
        <f t="shared" si="1"/>
        <v>17</v>
      </c>
      <c r="U7" s="159">
        <f t="shared" si="1"/>
        <v>27</v>
      </c>
      <c r="V7" s="159">
        <f t="shared" si="1"/>
        <v>7</v>
      </c>
      <c r="W7" s="159">
        <f t="shared" si="1"/>
        <v>7</v>
      </c>
      <c r="X7" s="159">
        <f t="shared" si="1"/>
        <v>7</v>
      </c>
      <c r="Y7" s="159">
        <f t="shared" si="1"/>
        <v>48</v>
      </c>
      <c r="Z7" s="164">
        <f t="shared" si="2"/>
        <v>244</v>
      </c>
      <c r="AA7" s="158" t="str">
        <f t="shared" si="3"/>
        <v>Van den Broeck</v>
      </c>
    </row>
    <row r="8" spans="2:27">
      <c r="B8" s="216" t="s">
        <v>158</v>
      </c>
      <c r="C8" s="217" t="s">
        <v>159</v>
      </c>
      <c r="D8" s="159">
        <f t="shared" si="0"/>
        <v>0</v>
      </c>
      <c r="E8" s="159">
        <f t="shared" si="0"/>
        <v>0</v>
      </c>
      <c r="F8" s="159">
        <f t="shared" si="0"/>
        <v>0</v>
      </c>
      <c r="G8" s="159">
        <f t="shared" si="0"/>
        <v>6</v>
      </c>
      <c r="H8" s="159">
        <f t="shared" si="0"/>
        <v>0</v>
      </c>
      <c r="I8" s="159">
        <f t="shared" si="0"/>
        <v>0</v>
      </c>
      <c r="J8" s="159">
        <f t="shared" si="0"/>
        <v>0</v>
      </c>
      <c r="K8" s="159">
        <f t="shared" si="0"/>
        <v>14</v>
      </c>
      <c r="L8" s="159">
        <f t="shared" si="0"/>
        <v>16</v>
      </c>
      <c r="M8" s="159">
        <f t="shared" si="0"/>
        <v>0</v>
      </c>
      <c r="N8" s="159">
        <f t="shared" si="1"/>
        <v>0</v>
      </c>
      <c r="O8" s="159">
        <f t="shared" si="1"/>
        <v>16</v>
      </c>
      <c r="P8" s="159">
        <f t="shared" si="1"/>
        <v>0</v>
      </c>
      <c r="Q8" s="159">
        <f t="shared" si="1"/>
        <v>0</v>
      </c>
      <c r="R8" s="159">
        <f t="shared" si="1"/>
        <v>0</v>
      </c>
      <c r="S8" s="159">
        <f t="shared" si="1"/>
        <v>0</v>
      </c>
      <c r="T8" s="159">
        <f t="shared" si="1"/>
        <v>0</v>
      </c>
      <c r="U8" s="159">
        <f t="shared" si="1"/>
        <v>0</v>
      </c>
      <c r="V8" s="159">
        <f t="shared" si="1"/>
        <v>0</v>
      </c>
      <c r="W8" s="159">
        <f t="shared" si="1"/>
        <v>0</v>
      </c>
      <c r="X8" s="159">
        <f t="shared" si="1"/>
        <v>0</v>
      </c>
      <c r="Y8" s="159">
        <f t="shared" si="1"/>
        <v>0</v>
      </c>
      <c r="Z8" s="164">
        <f t="shared" si="2"/>
        <v>52</v>
      </c>
      <c r="AA8" s="158" t="str">
        <f t="shared" si="3"/>
        <v>Schleck</v>
      </c>
    </row>
    <row r="9" spans="2:27">
      <c r="B9" s="216" t="s">
        <v>77</v>
      </c>
      <c r="C9" s="217" t="s">
        <v>78</v>
      </c>
      <c r="D9" s="159">
        <f t="shared" si="0"/>
        <v>0</v>
      </c>
      <c r="E9" s="159">
        <f t="shared" si="0"/>
        <v>0</v>
      </c>
      <c r="F9" s="159">
        <f t="shared" si="0"/>
        <v>0</v>
      </c>
      <c r="G9" s="159">
        <f t="shared" si="0"/>
        <v>0</v>
      </c>
      <c r="H9" s="159">
        <f t="shared" si="0"/>
        <v>0</v>
      </c>
      <c r="I9" s="159">
        <f t="shared" si="0"/>
        <v>0</v>
      </c>
      <c r="J9" s="159">
        <f t="shared" si="0"/>
        <v>0</v>
      </c>
      <c r="K9" s="159">
        <f t="shared" si="0"/>
        <v>0</v>
      </c>
      <c r="L9" s="159">
        <f t="shared" si="0"/>
        <v>6</v>
      </c>
      <c r="M9" s="159">
        <f t="shared" si="0"/>
        <v>0</v>
      </c>
      <c r="N9" s="159">
        <f t="shared" si="1"/>
        <v>0</v>
      </c>
      <c r="O9" s="159">
        <f t="shared" si="1"/>
        <v>0</v>
      </c>
      <c r="P9" s="159">
        <f t="shared" si="1"/>
        <v>0</v>
      </c>
      <c r="Q9" s="159">
        <f t="shared" si="1"/>
        <v>0</v>
      </c>
      <c r="R9" s="159">
        <f t="shared" si="1"/>
        <v>0</v>
      </c>
      <c r="S9" s="159">
        <f t="shared" si="1"/>
        <v>0</v>
      </c>
      <c r="T9" s="159">
        <f t="shared" si="1"/>
        <v>0</v>
      </c>
      <c r="U9" s="159">
        <f t="shared" si="1"/>
        <v>0</v>
      </c>
      <c r="V9" s="159">
        <f t="shared" si="1"/>
        <v>0</v>
      </c>
      <c r="W9" s="159">
        <f t="shared" si="1"/>
        <v>0</v>
      </c>
      <c r="X9" s="159">
        <f t="shared" si="1"/>
        <v>0</v>
      </c>
      <c r="Y9" s="159">
        <f t="shared" si="1"/>
        <v>0</v>
      </c>
      <c r="Z9" s="164">
        <f t="shared" si="2"/>
        <v>6</v>
      </c>
      <c r="AA9" s="158" t="str">
        <f t="shared" si="3"/>
        <v>Leipheimer</v>
      </c>
    </row>
    <row r="10" spans="2:27">
      <c r="B10" s="216" t="s">
        <v>121</v>
      </c>
      <c r="C10" s="217" t="s">
        <v>70</v>
      </c>
      <c r="D10" s="159">
        <f t="shared" si="0"/>
        <v>0</v>
      </c>
      <c r="E10" s="159">
        <f t="shared" si="0"/>
        <v>19</v>
      </c>
      <c r="F10" s="159">
        <f t="shared" si="0"/>
        <v>0</v>
      </c>
      <c r="G10" s="159">
        <f t="shared" si="0"/>
        <v>8</v>
      </c>
      <c r="H10" s="159">
        <f t="shared" si="0"/>
        <v>0</v>
      </c>
      <c r="I10" s="159">
        <f t="shared" si="0"/>
        <v>0</v>
      </c>
      <c r="J10" s="159">
        <f t="shared" si="0"/>
        <v>0</v>
      </c>
      <c r="K10" s="159">
        <f t="shared" si="0"/>
        <v>0</v>
      </c>
      <c r="L10" s="159">
        <f t="shared" si="0"/>
        <v>0</v>
      </c>
      <c r="M10" s="159">
        <f t="shared" si="0"/>
        <v>0</v>
      </c>
      <c r="N10" s="159">
        <f t="shared" si="1"/>
        <v>0</v>
      </c>
      <c r="O10" s="159">
        <f t="shared" si="1"/>
        <v>0</v>
      </c>
      <c r="P10" s="159">
        <f t="shared" si="1"/>
        <v>0</v>
      </c>
      <c r="Q10" s="159">
        <f t="shared" si="1"/>
        <v>0</v>
      </c>
      <c r="R10" s="159">
        <f t="shared" si="1"/>
        <v>0</v>
      </c>
      <c r="S10" s="159">
        <f t="shared" si="1"/>
        <v>0</v>
      </c>
      <c r="T10" s="159">
        <f t="shared" si="1"/>
        <v>0</v>
      </c>
      <c r="U10" s="159">
        <f t="shared" si="1"/>
        <v>0</v>
      </c>
      <c r="V10" s="159">
        <f t="shared" si="1"/>
        <v>0</v>
      </c>
      <c r="W10" s="159">
        <f t="shared" si="1"/>
        <v>0</v>
      </c>
      <c r="X10" s="159">
        <f t="shared" si="1"/>
        <v>0</v>
      </c>
      <c r="Y10" s="159">
        <f t="shared" si="1"/>
        <v>0</v>
      </c>
      <c r="Z10" s="164">
        <f t="shared" si="2"/>
        <v>27</v>
      </c>
      <c r="AA10" s="158" t="str">
        <f t="shared" si="3"/>
        <v>Gesink</v>
      </c>
    </row>
    <row r="11" spans="2:27">
      <c r="B11" s="216" t="s">
        <v>168</v>
      </c>
      <c r="C11" s="217" t="s">
        <v>73</v>
      </c>
      <c r="D11" s="159">
        <f t="shared" si="0"/>
        <v>0</v>
      </c>
      <c r="E11" s="159">
        <f t="shared" si="0"/>
        <v>9</v>
      </c>
      <c r="F11" s="159">
        <f t="shared" si="0"/>
        <v>0</v>
      </c>
      <c r="G11" s="159">
        <f t="shared" si="0"/>
        <v>9</v>
      </c>
      <c r="H11" s="159">
        <f t="shared" si="0"/>
        <v>7</v>
      </c>
      <c r="I11" s="159">
        <f t="shared" si="0"/>
        <v>10</v>
      </c>
      <c r="J11" s="159">
        <f t="shared" si="0"/>
        <v>0</v>
      </c>
      <c r="K11" s="159">
        <f t="shared" si="0"/>
        <v>18</v>
      </c>
      <c r="L11" s="159">
        <f t="shared" si="0"/>
        <v>0</v>
      </c>
      <c r="M11" s="159">
        <f t="shared" si="0"/>
        <v>11</v>
      </c>
      <c r="N11" s="159">
        <f t="shared" si="1"/>
        <v>0</v>
      </c>
      <c r="O11" s="159">
        <f t="shared" si="1"/>
        <v>21</v>
      </c>
      <c r="P11" s="159">
        <f t="shared" si="1"/>
        <v>13</v>
      </c>
      <c r="Q11" s="159">
        <f t="shared" si="1"/>
        <v>16</v>
      </c>
      <c r="R11" s="159">
        <f t="shared" si="1"/>
        <v>3</v>
      </c>
      <c r="S11" s="159">
        <f t="shared" si="1"/>
        <v>9</v>
      </c>
      <c r="T11" s="159">
        <f t="shared" si="1"/>
        <v>3</v>
      </c>
      <c r="U11" s="159">
        <f t="shared" si="1"/>
        <v>11</v>
      </c>
      <c r="V11" s="159">
        <f t="shared" si="1"/>
        <v>2</v>
      </c>
      <c r="W11" s="159">
        <f t="shared" si="1"/>
        <v>2</v>
      </c>
      <c r="X11" s="159">
        <f t="shared" si="1"/>
        <v>11</v>
      </c>
      <c r="Y11" s="159">
        <f t="shared" si="1"/>
        <v>34</v>
      </c>
      <c r="Z11" s="164">
        <f t="shared" si="2"/>
        <v>189</v>
      </c>
      <c r="AA11" s="158" t="str">
        <f t="shared" si="3"/>
        <v>Brajkovic</v>
      </c>
    </row>
    <row r="12" spans="2:27">
      <c r="B12" s="216" t="s">
        <v>169</v>
      </c>
      <c r="C12" s="217" t="s">
        <v>170</v>
      </c>
      <c r="D12" s="159">
        <f t="shared" si="0"/>
        <v>12</v>
      </c>
      <c r="E12" s="159">
        <f t="shared" si="0"/>
        <v>13</v>
      </c>
      <c r="F12" s="159">
        <f t="shared" si="0"/>
        <v>2</v>
      </c>
      <c r="G12" s="159">
        <f t="shared" si="0"/>
        <v>19</v>
      </c>
      <c r="H12" s="159">
        <f t="shared" si="0"/>
        <v>3</v>
      </c>
      <c r="I12" s="159">
        <f t="shared" si="0"/>
        <v>3</v>
      </c>
      <c r="J12" s="159">
        <f t="shared" si="0"/>
        <v>14</v>
      </c>
      <c r="K12" s="159">
        <f t="shared" si="0"/>
        <v>33</v>
      </c>
      <c r="L12" s="159">
        <f t="shared" si="0"/>
        <v>30</v>
      </c>
      <c r="M12" s="159">
        <f t="shared" si="0"/>
        <v>25</v>
      </c>
      <c r="N12" s="159">
        <f t="shared" si="1"/>
        <v>18</v>
      </c>
      <c r="O12" s="159">
        <f t="shared" si="1"/>
        <v>30</v>
      </c>
      <c r="P12" s="159">
        <f t="shared" si="1"/>
        <v>17</v>
      </c>
      <c r="Q12" s="159">
        <f t="shared" si="1"/>
        <v>23</v>
      </c>
      <c r="R12" s="159">
        <f t="shared" si="1"/>
        <v>17</v>
      </c>
      <c r="S12" s="159">
        <f t="shared" si="1"/>
        <v>8</v>
      </c>
      <c r="T12" s="159">
        <f t="shared" si="1"/>
        <v>23</v>
      </c>
      <c r="U12" s="159">
        <f t="shared" si="1"/>
        <v>27</v>
      </c>
      <c r="V12" s="159">
        <f t="shared" si="1"/>
        <v>8</v>
      </c>
      <c r="W12" s="159">
        <f t="shared" si="1"/>
        <v>18</v>
      </c>
      <c r="X12" s="159">
        <f t="shared" si="1"/>
        <v>8</v>
      </c>
      <c r="Y12" s="159">
        <f t="shared" si="1"/>
        <v>52</v>
      </c>
      <c r="Z12" s="164">
        <f t="shared" si="2"/>
        <v>403</v>
      </c>
      <c r="AA12" s="158" t="str">
        <f t="shared" si="3"/>
        <v>Nibali</v>
      </c>
    </row>
    <row r="13" spans="2:27">
      <c r="B13" s="216" t="s">
        <v>140</v>
      </c>
      <c r="C13" s="217" t="s">
        <v>88</v>
      </c>
      <c r="D13" s="159">
        <f t="shared" si="0"/>
        <v>0</v>
      </c>
      <c r="E13" s="159">
        <f t="shared" si="0"/>
        <v>0</v>
      </c>
      <c r="F13" s="159">
        <f t="shared" si="0"/>
        <v>0</v>
      </c>
      <c r="G13" s="159">
        <f t="shared" si="0"/>
        <v>0</v>
      </c>
      <c r="H13" s="159">
        <f t="shared" si="0"/>
        <v>0</v>
      </c>
      <c r="I13" s="159">
        <f t="shared" si="0"/>
        <v>0</v>
      </c>
      <c r="J13" s="159">
        <f t="shared" si="0"/>
        <v>0</v>
      </c>
      <c r="K13" s="159">
        <f t="shared" si="0"/>
        <v>29</v>
      </c>
      <c r="L13" s="159">
        <f t="shared" si="0"/>
        <v>1</v>
      </c>
      <c r="M13" s="159">
        <f t="shared" si="0"/>
        <v>0</v>
      </c>
      <c r="N13" s="159">
        <f t="shared" si="1"/>
        <v>0</v>
      </c>
      <c r="O13" s="159">
        <f t="shared" si="1"/>
        <v>0</v>
      </c>
      <c r="P13" s="159">
        <f t="shared" si="1"/>
        <v>0</v>
      </c>
      <c r="Q13" s="159">
        <f t="shared" si="1"/>
        <v>0</v>
      </c>
      <c r="R13" s="159">
        <f t="shared" si="1"/>
        <v>0</v>
      </c>
      <c r="S13" s="159">
        <f t="shared" si="1"/>
        <v>0</v>
      </c>
      <c r="T13" s="159">
        <f t="shared" si="1"/>
        <v>0</v>
      </c>
      <c r="U13" s="159">
        <f t="shared" si="1"/>
        <v>0</v>
      </c>
      <c r="V13" s="159">
        <f t="shared" si="1"/>
        <v>0</v>
      </c>
      <c r="W13" s="159">
        <f t="shared" si="1"/>
        <v>17</v>
      </c>
      <c r="X13" s="159">
        <f t="shared" si="1"/>
        <v>0</v>
      </c>
      <c r="Y13" s="159">
        <f t="shared" si="1"/>
        <v>0</v>
      </c>
      <c r="Z13" s="164">
        <f t="shared" si="2"/>
        <v>47</v>
      </c>
      <c r="AA13" s="158" t="str">
        <f t="shared" si="3"/>
        <v>Taaramae</v>
      </c>
    </row>
    <row r="14" spans="2:27">
      <c r="B14" s="216" t="s">
        <v>136</v>
      </c>
      <c r="C14" s="217" t="s">
        <v>137</v>
      </c>
      <c r="D14" s="159">
        <f t="shared" ref="D14:M20" si="4">INDEX(scorematrix,MATCH($C14,renners,0),MATCH(D$3,etappes,0))</f>
        <v>21</v>
      </c>
      <c r="E14" s="159">
        <f t="shared" si="4"/>
        <v>5</v>
      </c>
      <c r="F14" s="159">
        <f t="shared" si="4"/>
        <v>5</v>
      </c>
      <c r="G14" s="159">
        <f t="shared" si="4"/>
        <v>5</v>
      </c>
      <c r="H14" s="159">
        <f t="shared" si="4"/>
        <v>5</v>
      </c>
      <c r="I14" s="159">
        <f t="shared" si="4"/>
        <v>5</v>
      </c>
      <c r="J14" s="159">
        <f t="shared" si="4"/>
        <v>6</v>
      </c>
      <c r="K14" s="159">
        <f t="shared" si="4"/>
        <v>23</v>
      </c>
      <c r="L14" s="159">
        <f t="shared" si="4"/>
        <v>25</v>
      </c>
      <c r="M14" s="159">
        <f t="shared" si="4"/>
        <v>23</v>
      </c>
      <c r="N14" s="159">
        <f t="shared" ref="N14:Y20" si="5">INDEX(scorematrix,MATCH($C14,renners,0),MATCH(N$3,etappes,0))</f>
        <v>16</v>
      </c>
      <c r="O14" s="159">
        <f t="shared" si="5"/>
        <v>0</v>
      </c>
      <c r="P14" s="159">
        <f t="shared" si="5"/>
        <v>0</v>
      </c>
      <c r="Q14" s="159">
        <f t="shared" si="5"/>
        <v>0</v>
      </c>
      <c r="R14" s="159">
        <f t="shared" si="5"/>
        <v>0</v>
      </c>
      <c r="S14" s="159">
        <f t="shared" si="5"/>
        <v>0</v>
      </c>
      <c r="T14" s="159">
        <f t="shared" si="5"/>
        <v>0</v>
      </c>
      <c r="U14" s="159">
        <f t="shared" si="5"/>
        <v>11</v>
      </c>
      <c r="V14" s="159">
        <f t="shared" si="5"/>
        <v>0</v>
      </c>
      <c r="W14" s="159">
        <f t="shared" si="5"/>
        <v>0</v>
      </c>
      <c r="X14" s="159">
        <f t="shared" si="5"/>
        <v>0</v>
      </c>
      <c r="Y14" s="159">
        <f t="shared" si="5"/>
        <v>22</v>
      </c>
      <c r="Z14" s="164">
        <f t="shared" si="2"/>
        <v>172</v>
      </c>
      <c r="AA14" s="158" t="str">
        <f t="shared" si="3"/>
        <v>Menchov</v>
      </c>
    </row>
    <row r="15" spans="2:27">
      <c r="B15" s="216" t="s">
        <v>171</v>
      </c>
      <c r="C15" s="217" t="s">
        <v>99</v>
      </c>
      <c r="D15" s="159">
        <f t="shared" si="4"/>
        <v>0</v>
      </c>
      <c r="E15" s="159">
        <f t="shared" si="4"/>
        <v>0</v>
      </c>
      <c r="F15" s="159">
        <f t="shared" si="4"/>
        <v>30</v>
      </c>
      <c r="G15" s="159">
        <f t="shared" si="4"/>
        <v>0</v>
      </c>
      <c r="H15" s="159">
        <f t="shared" si="4"/>
        <v>38</v>
      </c>
      <c r="I15" s="159">
        <f t="shared" si="4"/>
        <v>38</v>
      </c>
      <c r="J15" s="159">
        <f t="shared" si="4"/>
        <v>33</v>
      </c>
      <c r="K15" s="159">
        <f t="shared" si="4"/>
        <v>3</v>
      </c>
      <c r="L15" s="159">
        <f t="shared" si="4"/>
        <v>3</v>
      </c>
      <c r="M15" s="159">
        <f t="shared" si="4"/>
        <v>3</v>
      </c>
      <c r="N15" s="159">
        <f t="shared" si="5"/>
        <v>3</v>
      </c>
      <c r="O15" s="159">
        <f t="shared" si="5"/>
        <v>3</v>
      </c>
      <c r="P15" s="159">
        <f t="shared" si="5"/>
        <v>3</v>
      </c>
      <c r="Q15" s="159">
        <f t="shared" si="5"/>
        <v>39</v>
      </c>
      <c r="R15" s="159">
        <f t="shared" si="5"/>
        <v>4</v>
      </c>
      <c r="S15" s="159">
        <f t="shared" si="5"/>
        <v>23</v>
      </c>
      <c r="T15" s="159">
        <f t="shared" si="5"/>
        <v>4</v>
      </c>
      <c r="U15" s="159">
        <f t="shared" si="5"/>
        <v>4</v>
      </c>
      <c r="V15" s="159">
        <f t="shared" si="5"/>
        <v>19</v>
      </c>
      <c r="W15" s="159">
        <f t="shared" si="5"/>
        <v>4</v>
      </c>
      <c r="X15" s="159">
        <f t="shared" si="5"/>
        <v>22</v>
      </c>
      <c r="Y15" s="159">
        <f t="shared" si="5"/>
        <v>7</v>
      </c>
      <c r="Z15" s="164">
        <f t="shared" si="2"/>
        <v>283</v>
      </c>
      <c r="AA15" s="158" t="str">
        <f t="shared" si="3"/>
        <v>Greipel</v>
      </c>
    </row>
    <row r="16" spans="2:27" s="218" customFormat="1">
      <c r="B16" s="216" t="s">
        <v>133</v>
      </c>
      <c r="C16" s="217" t="s">
        <v>76</v>
      </c>
      <c r="D16" s="159">
        <f t="shared" si="4"/>
        <v>0</v>
      </c>
      <c r="E16" s="159">
        <f t="shared" si="4"/>
        <v>0</v>
      </c>
      <c r="F16" s="159">
        <f t="shared" si="4"/>
        <v>16</v>
      </c>
      <c r="G16" s="159">
        <f t="shared" si="4"/>
        <v>0</v>
      </c>
      <c r="H16" s="159">
        <f t="shared" si="4"/>
        <v>0</v>
      </c>
      <c r="I16" s="159">
        <f t="shared" si="4"/>
        <v>0</v>
      </c>
      <c r="J16" s="159">
        <f t="shared" si="4"/>
        <v>0</v>
      </c>
      <c r="K16" s="159">
        <f t="shared" si="4"/>
        <v>0</v>
      </c>
      <c r="L16" s="159">
        <f t="shared" si="4"/>
        <v>0</v>
      </c>
      <c r="M16" s="159">
        <f t="shared" si="4"/>
        <v>0</v>
      </c>
      <c r="N16" s="159">
        <f t="shared" si="5"/>
        <v>0</v>
      </c>
      <c r="O16" s="159">
        <f t="shared" si="5"/>
        <v>0</v>
      </c>
      <c r="P16" s="159">
        <f t="shared" si="5"/>
        <v>0</v>
      </c>
      <c r="Q16" s="159">
        <f t="shared" si="5"/>
        <v>0</v>
      </c>
      <c r="R16" s="159">
        <f t="shared" si="5"/>
        <v>0</v>
      </c>
      <c r="S16" s="159">
        <f t="shared" si="5"/>
        <v>18</v>
      </c>
      <c r="T16" s="159">
        <f t="shared" si="5"/>
        <v>0</v>
      </c>
      <c r="U16" s="159">
        <f t="shared" si="5"/>
        <v>0</v>
      </c>
      <c r="V16" s="159">
        <f t="shared" si="5"/>
        <v>20</v>
      </c>
      <c r="W16" s="159">
        <f t="shared" si="5"/>
        <v>0</v>
      </c>
      <c r="X16" s="159">
        <f t="shared" si="5"/>
        <v>15</v>
      </c>
      <c r="Y16" s="159">
        <f t="shared" si="5"/>
        <v>0</v>
      </c>
      <c r="Z16" s="164">
        <f t="shared" si="2"/>
        <v>69</v>
      </c>
      <c r="AA16" s="158" t="str">
        <f t="shared" si="3"/>
        <v>Farrar</v>
      </c>
    </row>
    <row r="17" spans="2:31">
      <c r="B17" s="216" t="s">
        <v>129</v>
      </c>
      <c r="C17" s="217" t="s">
        <v>130</v>
      </c>
      <c r="D17" s="159">
        <f t="shared" si="4"/>
        <v>0</v>
      </c>
      <c r="E17" s="159">
        <f t="shared" si="4"/>
        <v>43</v>
      </c>
      <c r="F17" s="159">
        <f t="shared" si="4"/>
        <v>27</v>
      </c>
      <c r="G17" s="159">
        <f t="shared" si="4"/>
        <v>43</v>
      </c>
      <c r="H17" s="159">
        <f t="shared" si="4"/>
        <v>30</v>
      </c>
      <c r="I17" s="159">
        <f t="shared" si="4"/>
        <v>8</v>
      </c>
      <c r="J17" s="159">
        <f t="shared" si="4"/>
        <v>46</v>
      </c>
      <c r="K17" s="159">
        <f t="shared" si="4"/>
        <v>5</v>
      </c>
      <c r="L17" s="159">
        <f t="shared" si="4"/>
        <v>5</v>
      </c>
      <c r="M17" s="159">
        <f t="shared" si="4"/>
        <v>5</v>
      </c>
      <c r="N17" s="159">
        <f t="shared" si="5"/>
        <v>5</v>
      </c>
      <c r="O17" s="159">
        <f t="shared" si="5"/>
        <v>5</v>
      </c>
      <c r="P17" s="159">
        <f t="shared" si="5"/>
        <v>25</v>
      </c>
      <c r="Q17" s="159">
        <f t="shared" si="5"/>
        <v>35</v>
      </c>
      <c r="R17" s="159">
        <f t="shared" si="5"/>
        <v>35</v>
      </c>
      <c r="S17" s="159">
        <f t="shared" si="5"/>
        <v>22</v>
      </c>
      <c r="T17" s="159">
        <f t="shared" si="5"/>
        <v>5</v>
      </c>
      <c r="U17" s="159">
        <f t="shared" si="5"/>
        <v>5</v>
      </c>
      <c r="V17" s="159">
        <f t="shared" si="5"/>
        <v>31</v>
      </c>
      <c r="W17" s="159">
        <f t="shared" si="5"/>
        <v>5</v>
      </c>
      <c r="X17" s="159">
        <f t="shared" si="5"/>
        <v>35</v>
      </c>
      <c r="Y17" s="159">
        <f t="shared" si="5"/>
        <v>10</v>
      </c>
      <c r="Z17" s="164">
        <f t="shared" si="2"/>
        <v>430</v>
      </c>
      <c r="AA17" s="158" t="str">
        <f t="shared" si="3"/>
        <v>Sagan</v>
      </c>
    </row>
    <row r="18" spans="2:31" s="218" customFormat="1">
      <c r="B18" s="216" t="s">
        <v>131</v>
      </c>
      <c r="C18" s="217" t="s">
        <v>132</v>
      </c>
      <c r="D18" s="159">
        <f t="shared" si="4"/>
        <v>0</v>
      </c>
      <c r="E18" s="159">
        <f t="shared" si="4"/>
        <v>0</v>
      </c>
      <c r="F18" s="159">
        <f t="shared" si="4"/>
        <v>0</v>
      </c>
      <c r="G18" s="159">
        <f t="shared" si="4"/>
        <v>0</v>
      </c>
      <c r="H18" s="159">
        <f t="shared" si="4"/>
        <v>0</v>
      </c>
      <c r="I18" s="159">
        <f t="shared" si="4"/>
        <v>0</v>
      </c>
      <c r="J18" s="159">
        <f t="shared" si="4"/>
        <v>0</v>
      </c>
      <c r="K18" s="159">
        <f t="shared" si="4"/>
        <v>0</v>
      </c>
      <c r="L18" s="159">
        <f t="shared" si="4"/>
        <v>0</v>
      </c>
      <c r="M18" s="159">
        <f t="shared" si="4"/>
        <v>0</v>
      </c>
      <c r="N18" s="159">
        <f t="shared" si="5"/>
        <v>0</v>
      </c>
      <c r="O18" s="159">
        <f t="shared" si="5"/>
        <v>0</v>
      </c>
      <c r="P18" s="159">
        <f t="shared" si="5"/>
        <v>0</v>
      </c>
      <c r="Q18" s="159">
        <f t="shared" si="5"/>
        <v>0</v>
      </c>
      <c r="R18" s="159">
        <f t="shared" si="5"/>
        <v>0</v>
      </c>
      <c r="S18" s="159">
        <f t="shared" si="5"/>
        <v>0</v>
      </c>
      <c r="T18" s="159">
        <f t="shared" si="5"/>
        <v>0</v>
      </c>
      <c r="U18" s="159">
        <f t="shared" si="5"/>
        <v>0</v>
      </c>
      <c r="V18" s="159">
        <f t="shared" si="5"/>
        <v>0</v>
      </c>
      <c r="W18" s="159">
        <f t="shared" si="5"/>
        <v>0</v>
      </c>
      <c r="X18" s="159">
        <f t="shared" si="5"/>
        <v>0</v>
      </c>
      <c r="Y18" s="159">
        <f t="shared" si="5"/>
        <v>0</v>
      </c>
      <c r="Z18" s="164">
        <f t="shared" si="2"/>
        <v>0</v>
      </c>
      <c r="AA18" s="158" t="str">
        <f t="shared" si="3"/>
        <v>Kittel</v>
      </c>
    </row>
    <row r="19" spans="2:31">
      <c r="B19" s="216" t="s">
        <v>134</v>
      </c>
      <c r="C19" s="217" t="s">
        <v>87</v>
      </c>
      <c r="D19" s="159">
        <f t="shared" si="4"/>
        <v>0</v>
      </c>
      <c r="E19" s="159">
        <f t="shared" si="4"/>
        <v>0</v>
      </c>
      <c r="F19" s="159">
        <f t="shared" si="4"/>
        <v>15</v>
      </c>
      <c r="G19" s="159">
        <f t="shared" si="4"/>
        <v>0</v>
      </c>
      <c r="H19" s="159">
        <f t="shared" si="4"/>
        <v>0</v>
      </c>
      <c r="I19" s="159">
        <f t="shared" si="4"/>
        <v>0</v>
      </c>
      <c r="J19" s="159">
        <f t="shared" si="4"/>
        <v>0</v>
      </c>
      <c r="K19" s="159">
        <f t="shared" si="4"/>
        <v>0</v>
      </c>
      <c r="L19" s="159">
        <f t="shared" si="4"/>
        <v>0</v>
      </c>
      <c r="M19" s="159">
        <f t="shared" si="4"/>
        <v>0</v>
      </c>
      <c r="N19" s="159">
        <f t="shared" si="5"/>
        <v>0</v>
      </c>
      <c r="O19" s="159">
        <f t="shared" si="5"/>
        <v>0</v>
      </c>
      <c r="P19" s="159">
        <f t="shared" si="5"/>
        <v>0</v>
      </c>
      <c r="Q19" s="159">
        <f t="shared" si="5"/>
        <v>0</v>
      </c>
      <c r="R19" s="159">
        <f t="shared" si="5"/>
        <v>0</v>
      </c>
      <c r="S19" s="159">
        <f t="shared" si="5"/>
        <v>0</v>
      </c>
      <c r="T19" s="159">
        <f t="shared" si="5"/>
        <v>0</v>
      </c>
      <c r="U19" s="159">
        <f t="shared" si="5"/>
        <v>0</v>
      </c>
      <c r="V19" s="159">
        <f t="shared" si="5"/>
        <v>0</v>
      </c>
      <c r="W19" s="159">
        <f t="shared" si="5"/>
        <v>0</v>
      </c>
      <c r="X19" s="159">
        <f t="shared" si="5"/>
        <v>0</v>
      </c>
      <c r="Y19" s="159">
        <f t="shared" si="5"/>
        <v>0</v>
      </c>
      <c r="Z19" s="164">
        <f t="shared" si="2"/>
        <v>15</v>
      </c>
      <c r="AA19" s="158" t="str">
        <f>C19</f>
        <v>Rojas</v>
      </c>
    </row>
    <row r="20" spans="2:31">
      <c r="B20" s="216" t="s">
        <v>153</v>
      </c>
      <c r="C20" s="217" t="s">
        <v>100</v>
      </c>
      <c r="D20" s="159">
        <f t="shared" si="4"/>
        <v>0</v>
      </c>
      <c r="E20" s="159">
        <f t="shared" si="4"/>
        <v>0</v>
      </c>
      <c r="F20" s="159">
        <f t="shared" si="4"/>
        <v>28</v>
      </c>
      <c r="G20" s="159">
        <f t="shared" si="4"/>
        <v>1</v>
      </c>
      <c r="H20" s="159">
        <f t="shared" si="4"/>
        <v>28</v>
      </c>
      <c r="I20" s="159">
        <f t="shared" si="4"/>
        <v>34</v>
      </c>
      <c r="J20" s="159">
        <f t="shared" si="4"/>
        <v>30</v>
      </c>
      <c r="K20" s="159">
        <f t="shared" si="4"/>
        <v>4</v>
      </c>
      <c r="L20" s="159">
        <f t="shared" si="4"/>
        <v>4</v>
      </c>
      <c r="M20" s="159">
        <f t="shared" si="4"/>
        <v>4</v>
      </c>
      <c r="N20" s="159">
        <f t="shared" si="5"/>
        <v>4</v>
      </c>
      <c r="O20" s="159">
        <f t="shared" si="5"/>
        <v>4</v>
      </c>
      <c r="P20" s="159">
        <f t="shared" si="5"/>
        <v>23</v>
      </c>
      <c r="Q20" s="159">
        <f t="shared" si="5"/>
        <v>3</v>
      </c>
      <c r="R20" s="159">
        <f t="shared" si="5"/>
        <v>3</v>
      </c>
      <c r="S20" s="159">
        <f t="shared" si="5"/>
        <v>3</v>
      </c>
      <c r="T20" s="159">
        <f t="shared" si="5"/>
        <v>3</v>
      </c>
      <c r="U20" s="159">
        <f t="shared" si="5"/>
        <v>3</v>
      </c>
      <c r="V20" s="159">
        <f t="shared" si="5"/>
        <v>33</v>
      </c>
      <c r="W20" s="159">
        <f t="shared" si="5"/>
        <v>3</v>
      </c>
      <c r="X20" s="159">
        <f t="shared" si="5"/>
        <v>29</v>
      </c>
      <c r="Y20" s="159">
        <f t="shared" si="5"/>
        <v>5</v>
      </c>
      <c r="Z20" s="164">
        <f t="shared" si="2"/>
        <v>249</v>
      </c>
      <c r="AA20" s="158" t="str">
        <f>C20</f>
        <v>Goss</v>
      </c>
    </row>
    <row r="21" spans="2:31" s="219" customFormat="1">
      <c r="C21" s="238"/>
      <c r="D21" s="221"/>
      <c r="E21" s="221"/>
      <c r="F21" s="221"/>
      <c r="G21" s="221"/>
      <c r="H21" s="221"/>
      <c r="I21" s="221">
        <f>I24</f>
        <v>24</v>
      </c>
      <c r="J21" s="221"/>
      <c r="K21" s="221"/>
      <c r="L21" s="221"/>
      <c r="M21" s="221"/>
      <c r="N21" s="221"/>
      <c r="O21" s="221"/>
      <c r="P21" s="221"/>
      <c r="Q21" s="221"/>
      <c r="R21" s="221"/>
      <c r="S21" s="221"/>
      <c r="T21" s="221"/>
      <c r="U21" s="221"/>
      <c r="V21" s="221"/>
      <c r="W21" s="221"/>
      <c r="X21" s="221"/>
      <c r="Y21" s="221"/>
      <c r="Z21" s="164">
        <f t="shared" si="2"/>
        <v>24</v>
      </c>
      <c r="AE21" s="158" t="str">
        <f>PROPER(AC21)</f>
        <v/>
      </c>
    </row>
    <row r="22" spans="2:31" s="162" customFormat="1">
      <c r="C22" s="177"/>
      <c r="D22" s="223">
        <f t="shared" ref="D22:Z22" si="6">SUM(D4:D21)</f>
        <v>89</v>
      </c>
      <c r="E22" s="223">
        <f t="shared" ref="E22" si="7">SUM(E4:E21)</f>
        <v>132</v>
      </c>
      <c r="F22" s="223">
        <f>SUM(F4:F21)</f>
        <v>135</v>
      </c>
      <c r="G22" s="223">
        <f t="shared" si="6"/>
        <v>124</v>
      </c>
      <c r="H22" s="223">
        <f t="shared" si="6"/>
        <v>124</v>
      </c>
      <c r="I22" s="223">
        <f t="shared" si="6"/>
        <v>143</v>
      </c>
      <c r="J22" s="223">
        <f t="shared" si="6"/>
        <v>155</v>
      </c>
      <c r="K22" s="223">
        <f t="shared" si="6"/>
        <v>211</v>
      </c>
      <c r="L22" s="223">
        <f t="shared" si="6"/>
        <v>190</v>
      </c>
      <c r="M22" s="223">
        <f t="shared" si="6"/>
        <v>165</v>
      </c>
      <c r="N22" s="223">
        <f t="shared" si="6"/>
        <v>112</v>
      </c>
      <c r="O22" s="223">
        <f t="shared" si="6"/>
        <v>161</v>
      </c>
      <c r="P22" s="223">
        <f t="shared" si="6"/>
        <v>144</v>
      </c>
      <c r="Q22" s="223">
        <f t="shared" si="6"/>
        <v>172</v>
      </c>
      <c r="R22" s="223">
        <f t="shared" si="6"/>
        <v>106</v>
      </c>
      <c r="S22" s="223">
        <f t="shared" si="6"/>
        <v>106</v>
      </c>
      <c r="T22" s="223">
        <f t="shared" si="6"/>
        <v>83</v>
      </c>
      <c r="U22" s="223">
        <f t="shared" si="6"/>
        <v>137</v>
      </c>
      <c r="V22" s="223">
        <f t="shared" si="6"/>
        <v>142</v>
      </c>
      <c r="W22" s="223">
        <f t="shared" si="6"/>
        <v>105</v>
      </c>
      <c r="X22" s="223">
        <f t="shared" si="6"/>
        <v>141</v>
      </c>
      <c r="Y22" s="223">
        <f t="shared" si="6"/>
        <v>286</v>
      </c>
      <c r="Z22" s="224">
        <f t="shared" si="6"/>
        <v>3163</v>
      </c>
      <c r="AE22" s="158" t="str">
        <f>PROPER(AC22)</f>
        <v/>
      </c>
    </row>
    <row r="23" spans="2:31" s="225" customFormat="1">
      <c r="C23" s="158"/>
      <c r="D23" s="194"/>
      <c r="E23" s="194"/>
      <c r="F23" s="194"/>
      <c r="G23" s="226"/>
      <c r="H23" s="194"/>
      <c r="I23" s="194"/>
      <c r="J23" s="194"/>
      <c r="K23" s="194"/>
      <c r="L23" s="194"/>
      <c r="M23" s="194"/>
      <c r="N23" s="194"/>
      <c r="O23" s="194"/>
      <c r="P23" s="194"/>
      <c r="Q23" s="194"/>
      <c r="R23" s="194"/>
      <c r="S23" s="194"/>
      <c r="T23" s="194"/>
      <c r="U23" s="194"/>
      <c r="V23" s="194"/>
      <c r="W23" s="194"/>
      <c r="X23" s="194"/>
      <c r="Y23" s="194"/>
      <c r="Z23" s="227"/>
      <c r="AC23" s="158"/>
    </row>
    <row r="24" spans="2:31" s="230" customFormat="1">
      <c r="B24" s="216" t="s">
        <v>150</v>
      </c>
      <c r="C24" s="270" t="s">
        <v>75</v>
      </c>
      <c r="D24" s="295">
        <f t="shared" ref="D24:Y26" si="8">INDEX(scorematrix,MATCH($C24,renners,0),MATCH(D$3,etappes,0))</f>
        <v>0</v>
      </c>
      <c r="E24" s="295">
        <f t="shared" si="8"/>
        <v>0</v>
      </c>
      <c r="F24" s="295">
        <f t="shared" si="8"/>
        <v>39</v>
      </c>
      <c r="G24" s="295">
        <f t="shared" si="8"/>
        <v>3</v>
      </c>
      <c r="H24" s="295">
        <f t="shared" si="8"/>
        <v>2</v>
      </c>
      <c r="I24" s="296">
        <f t="shared" si="8"/>
        <v>24</v>
      </c>
      <c r="J24" s="295">
        <f t="shared" si="8"/>
        <v>2</v>
      </c>
      <c r="K24" s="295">
        <f t="shared" si="8"/>
        <v>2</v>
      </c>
      <c r="L24" s="297">
        <f t="shared" si="8"/>
        <v>2</v>
      </c>
      <c r="M24" s="297">
        <f t="shared" si="8"/>
        <v>2</v>
      </c>
      <c r="N24" s="295">
        <f t="shared" si="8"/>
        <v>2</v>
      </c>
      <c r="O24" s="295">
        <f t="shared" si="8"/>
        <v>2</v>
      </c>
      <c r="P24" s="295">
        <f t="shared" si="8"/>
        <v>2</v>
      </c>
      <c r="Q24" s="295">
        <f t="shared" si="8"/>
        <v>2</v>
      </c>
      <c r="R24" s="295">
        <f t="shared" si="8"/>
        <v>2</v>
      </c>
      <c r="S24" s="295">
        <f t="shared" si="8"/>
        <v>2</v>
      </c>
      <c r="T24" s="295">
        <f t="shared" si="8"/>
        <v>2</v>
      </c>
      <c r="U24" s="295">
        <f t="shared" si="8"/>
        <v>2</v>
      </c>
      <c r="V24" s="295">
        <f t="shared" si="8"/>
        <v>37</v>
      </c>
      <c r="W24" s="295">
        <f t="shared" si="8"/>
        <v>2</v>
      </c>
      <c r="X24" s="295">
        <f t="shared" si="8"/>
        <v>37</v>
      </c>
      <c r="Y24" s="295">
        <f t="shared" si="8"/>
        <v>3</v>
      </c>
      <c r="Z24" s="229">
        <f>SUM(D24:Y24)</f>
        <v>171</v>
      </c>
      <c r="AC24" s="271"/>
      <c r="AE24" s="271"/>
    </row>
    <row r="25" spans="2:31" s="230" customFormat="1">
      <c r="B25" s="234" t="s">
        <v>157</v>
      </c>
      <c r="C25" s="234" t="s">
        <v>68</v>
      </c>
      <c r="D25" s="295">
        <f t="shared" si="8"/>
        <v>0</v>
      </c>
      <c r="E25" s="295">
        <f t="shared" si="8"/>
        <v>0</v>
      </c>
      <c r="F25" s="295">
        <f t="shared" si="8"/>
        <v>0</v>
      </c>
      <c r="G25" s="295">
        <f t="shared" si="8"/>
        <v>18</v>
      </c>
      <c r="H25" s="295">
        <f t="shared" si="8"/>
        <v>0</v>
      </c>
      <c r="I25" s="295">
        <f t="shared" si="8"/>
        <v>9</v>
      </c>
      <c r="J25" s="295">
        <f t="shared" si="8"/>
        <v>7</v>
      </c>
      <c r="K25" s="295">
        <f t="shared" si="8"/>
        <v>10</v>
      </c>
      <c r="L25" s="297">
        <f t="shared" si="8"/>
        <v>0</v>
      </c>
      <c r="M25" s="297">
        <f t="shared" si="8"/>
        <v>0</v>
      </c>
      <c r="N25" s="295">
        <f t="shared" si="8"/>
        <v>0</v>
      </c>
      <c r="O25" s="295">
        <f t="shared" si="8"/>
        <v>0</v>
      </c>
      <c r="P25" s="295">
        <f t="shared" si="8"/>
        <v>0</v>
      </c>
      <c r="Q25" s="295">
        <f t="shared" si="8"/>
        <v>0</v>
      </c>
      <c r="R25" s="295">
        <f t="shared" si="8"/>
        <v>0</v>
      </c>
      <c r="S25" s="295">
        <f t="shared" si="8"/>
        <v>0</v>
      </c>
      <c r="T25" s="295">
        <f t="shared" si="8"/>
        <v>0</v>
      </c>
      <c r="U25" s="295">
        <f t="shared" si="8"/>
        <v>0</v>
      </c>
      <c r="V25" s="295">
        <f t="shared" si="8"/>
        <v>0</v>
      </c>
      <c r="W25" s="295">
        <f t="shared" si="8"/>
        <v>0</v>
      </c>
      <c r="X25" s="295">
        <f t="shared" si="8"/>
        <v>0</v>
      </c>
      <c r="Y25" s="295">
        <f t="shared" si="8"/>
        <v>0</v>
      </c>
      <c r="Z25" s="229">
        <f>SUM(D25:Y25)</f>
        <v>44</v>
      </c>
      <c r="AC25" s="271"/>
      <c r="AE25" s="271"/>
    </row>
    <row r="26" spans="2:31" s="230" customFormat="1">
      <c r="B26" s="216" t="s">
        <v>172</v>
      </c>
      <c r="C26" s="234" t="s">
        <v>173</v>
      </c>
      <c r="D26" s="295">
        <f t="shared" si="8"/>
        <v>0</v>
      </c>
      <c r="E26" s="295">
        <f t="shared" si="8"/>
        <v>0</v>
      </c>
      <c r="F26" s="295">
        <f t="shared" si="8"/>
        <v>0</v>
      </c>
      <c r="G26" s="295">
        <f t="shared" si="8"/>
        <v>0</v>
      </c>
      <c r="H26" s="295">
        <f t="shared" si="8"/>
        <v>0</v>
      </c>
      <c r="I26" s="295">
        <f t="shared" si="8"/>
        <v>0</v>
      </c>
      <c r="J26" s="295">
        <f t="shared" si="8"/>
        <v>0</v>
      </c>
      <c r="K26" s="295">
        <f t="shared" si="8"/>
        <v>0</v>
      </c>
      <c r="L26" s="295">
        <f t="shared" si="8"/>
        <v>0</v>
      </c>
      <c r="M26" s="295">
        <f t="shared" si="8"/>
        <v>0</v>
      </c>
      <c r="N26" s="295">
        <f t="shared" si="8"/>
        <v>0</v>
      </c>
      <c r="O26" s="295">
        <f t="shared" si="8"/>
        <v>9</v>
      </c>
      <c r="P26" s="295">
        <f t="shared" si="8"/>
        <v>0</v>
      </c>
      <c r="Q26" s="295">
        <f t="shared" si="8"/>
        <v>0</v>
      </c>
      <c r="R26" s="295">
        <f t="shared" si="8"/>
        <v>0</v>
      </c>
      <c r="S26" s="295">
        <f t="shared" si="8"/>
        <v>0</v>
      </c>
      <c r="T26" s="295">
        <f t="shared" si="8"/>
        <v>7</v>
      </c>
      <c r="U26" s="295">
        <f t="shared" si="8"/>
        <v>0</v>
      </c>
      <c r="V26" s="295">
        <f t="shared" si="8"/>
        <v>0</v>
      </c>
      <c r="W26" s="295">
        <f t="shared" si="8"/>
        <v>0</v>
      </c>
      <c r="X26" s="295">
        <f t="shared" si="8"/>
        <v>0</v>
      </c>
      <c r="Y26" s="295">
        <f t="shared" si="8"/>
        <v>0</v>
      </c>
      <c r="Z26" s="229">
        <f>SUM(D26:Y26)</f>
        <v>16</v>
      </c>
      <c r="AE26" s="271"/>
    </row>
    <row r="27" spans="2:31" s="225" customFormat="1">
      <c r="B27" s="272"/>
      <c r="C27" s="270"/>
      <c r="D27" s="194"/>
      <c r="E27" s="194"/>
      <c r="F27" s="194"/>
      <c r="G27" s="226"/>
      <c r="H27" s="194"/>
      <c r="I27" s="194"/>
      <c r="J27" s="194"/>
      <c r="K27" s="194"/>
      <c r="L27" s="194"/>
      <c r="M27" s="194"/>
      <c r="N27" s="194"/>
      <c r="O27" s="194"/>
      <c r="Z27" s="231"/>
    </row>
    <row r="28" spans="2:31" s="255" customFormat="1">
      <c r="B28" s="272"/>
      <c r="C28" s="270"/>
      <c r="D28" s="194"/>
      <c r="E28" s="225"/>
      <c r="F28" s="225"/>
      <c r="G28" s="226"/>
      <c r="H28" s="194"/>
      <c r="I28" s="194"/>
      <c r="J28" s="194"/>
      <c r="K28" s="194"/>
      <c r="L28" s="194"/>
      <c r="M28" s="194"/>
      <c r="N28" s="194"/>
      <c r="O28" s="194"/>
      <c r="P28" s="225"/>
      <c r="Z28" s="231"/>
    </row>
    <row r="29" spans="2:31" s="234" customFormat="1">
      <c r="B29" s="237"/>
      <c r="C29" s="237"/>
      <c r="D29" s="225"/>
      <c r="E29" s="225"/>
      <c r="F29" s="225"/>
      <c r="G29" s="225"/>
      <c r="J29" s="190"/>
      <c r="K29" s="190"/>
      <c r="L29" s="190"/>
      <c r="M29" s="190"/>
      <c r="N29" s="190"/>
      <c r="O29" s="190"/>
      <c r="P29" s="237"/>
      <c r="Z29" s="231"/>
    </row>
    <row r="30" spans="2:31" s="234" customFormat="1">
      <c r="B30" s="237"/>
      <c r="C30" s="237"/>
      <c r="D30" s="225"/>
      <c r="E30" s="225"/>
      <c r="F30" s="225"/>
      <c r="G30" s="225"/>
      <c r="J30" s="190"/>
      <c r="K30" s="190"/>
      <c r="L30" s="190"/>
      <c r="M30" s="190"/>
      <c r="N30" s="190"/>
      <c r="O30" s="190"/>
      <c r="P30" s="237"/>
      <c r="Z30" s="231"/>
    </row>
    <row r="31" spans="2:31" s="234" customFormat="1">
      <c r="B31" s="272"/>
      <c r="C31" s="270"/>
      <c r="D31" s="194"/>
      <c r="E31" s="194"/>
      <c r="F31" s="194"/>
      <c r="G31" s="226"/>
      <c r="H31" s="190"/>
      <c r="I31" s="190"/>
      <c r="J31" s="190"/>
      <c r="K31" s="190"/>
      <c r="L31" s="190"/>
      <c r="M31" s="190"/>
      <c r="N31" s="190"/>
      <c r="O31" s="190"/>
      <c r="P31" s="237"/>
      <c r="Z31" s="231"/>
    </row>
    <row r="32" spans="2:31" s="234" customFormat="1">
      <c r="B32" s="272"/>
      <c r="C32" s="270"/>
      <c r="D32" s="194"/>
      <c r="E32" s="194"/>
      <c r="F32" s="194"/>
      <c r="G32" s="226"/>
      <c r="H32" s="190"/>
      <c r="I32" s="190"/>
      <c r="J32" s="190"/>
      <c r="K32" s="190"/>
      <c r="L32" s="190"/>
      <c r="M32" s="190"/>
      <c r="N32" s="190"/>
      <c r="O32" s="190"/>
      <c r="P32" s="237"/>
      <c r="Z32" s="180"/>
    </row>
    <row r="33" spans="2:26" s="234" customFormat="1">
      <c r="B33" s="272"/>
      <c r="C33" s="270"/>
      <c r="D33" s="194"/>
      <c r="E33" s="194"/>
      <c r="F33" s="194"/>
      <c r="G33" s="226"/>
      <c r="H33" s="190"/>
      <c r="I33" s="190"/>
      <c r="J33" s="190"/>
      <c r="K33" s="190"/>
      <c r="L33" s="190"/>
      <c r="M33" s="190"/>
      <c r="N33" s="190"/>
      <c r="O33" s="190"/>
      <c r="P33" s="237"/>
      <c r="Z33" s="180"/>
    </row>
    <row r="34" spans="2:26" s="234" customFormat="1">
      <c r="B34" s="272"/>
      <c r="C34" s="270"/>
      <c r="D34" s="194"/>
      <c r="E34" s="194"/>
      <c r="F34" s="194"/>
      <c r="G34" s="226"/>
      <c r="H34" s="190"/>
      <c r="I34" s="190"/>
      <c r="J34" s="190"/>
      <c r="K34" s="190"/>
      <c r="L34" s="190"/>
      <c r="M34" s="190"/>
      <c r="N34" s="190"/>
      <c r="O34" s="190"/>
      <c r="P34" s="237"/>
      <c r="Z34" s="180"/>
    </row>
    <row r="35" spans="2:26" s="234" customFormat="1">
      <c r="B35" s="272"/>
      <c r="C35" s="270"/>
      <c r="D35" s="194"/>
      <c r="E35" s="194"/>
      <c r="F35" s="194"/>
      <c r="G35" s="226"/>
      <c r="H35" s="190"/>
      <c r="I35" s="190"/>
      <c r="J35" s="190"/>
      <c r="K35" s="190"/>
      <c r="L35" s="190"/>
      <c r="M35" s="190"/>
      <c r="N35" s="190"/>
      <c r="O35" s="190"/>
      <c r="P35" s="237"/>
      <c r="Z35" s="180"/>
    </row>
    <row r="36" spans="2:26" s="234" customFormat="1">
      <c r="B36" s="272"/>
      <c r="C36" s="270"/>
      <c r="D36" s="194"/>
      <c r="E36" s="194"/>
      <c r="F36" s="194"/>
      <c r="G36" s="226"/>
      <c r="H36" s="190"/>
      <c r="I36" s="190"/>
      <c r="J36" s="190"/>
      <c r="K36" s="190"/>
      <c r="L36" s="190"/>
      <c r="M36" s="190"/>
      <c r="N36" s="190"/>
      <c r="O36" s="190"/>
      <c r="P36" s="237"/>
      <c r="Z36" s="180"/>
    </row>
    <row r="37" spans="2:26" s="234" customFormat="1">
      <c r="B37" s="272"/>
      <c r="C37" s="270"/>
      <c r="D37" s="194"/>
      <c r="E37" s="194"/>
      <c r="F37" s="194"/>
      <c r="G37" s="226"/>
      <c r="H37" s="190"/>
      <c r="I37" s="190"/>
      <c r="J37" s="190"/>
      <c r="K37" s="190"/>
      <c r="L37" s="190"/>
      <c r="M37" s="190"/>
      <c r="N37" s="190"/>
      <c r="O37" s="190"/>
      <c r="P37" s="237"/>
      <c r="Z37" s="180"/>
    </row>
    <row r="38" spans="2:26" s="234" customFormat="1">
      <c r="B38" s="237"/>
      <c r="C38" s="237"/>
      <c r="D38" s="190"/>
      <c r="E38" s="190"/>
      <c r="F38" s="190"/>
      <c r="G38" s="236"/>
      <c r="H38" s="190"/>
      <c r="I38" s="190"/>
      <c r="J38" s="190"/>
      <c r="K38" s="190"/>
      <c r="L38" s="190"/>
      <c r="M38" s="190"/>
      <c r="N38" s="190"/>
      <c r="O38" s="190"/>
      <c r="P38" s="237"/>
      <c r="Z38" s="180"/>
    </row>
    <row r="39" spans="2:26" s="234" customFormat="1">
      <c r="B39" s="272"/>
      <c r="C39" s="270"/>
      <c r="D39" s="190"/>
      <c r="E39" s="190"/>
      <c r="F39" s="190"/>
      <c r="G39" s="236"/>
      <c r="H39" s="190"/>
      <c r="I39" s="190"/>
      <c r="J39" s="190"/>
      <c r="K39" s="190"/>
      <c r="L39" s="190"/>
      <c r="M39" s="190"/>
      <c r="N39" s="190"/>
      <c r="O39" s="190"/>
      <c r="P39" s="237"/>
      <c r="Z39" s="180"/>
    </row>
    <row r="40" spans="2:26" s="234" customFormat="1">
      <c r="B40" s="272"/>
      <c r="C40" s="270"/>
      <c r="D40" s="190"/>
      <c r="E40" s="190"/>
      <c r="F40" s="190"/>
      <c r="G40" s="236"/>
      <c r="H40" s="190"/>
      <c r="I40" s="190"/>
      <c r="J40" s="190"/>
      <c r="K40" s="190"/>
      <c r="L40" s="190"/>
      <c r="M40" s="190"/>
      <c r="N40" s="190"/>
      <c r="O40" s="190"/>
      <c r="P40" s="237"/>
      <c r="Z40" s="180"/>
    </row>
    <row r="41" spans="2:26" s="234" customFormat="1">
      <c r="B41" s="272"/>
      <c r="C41" s="270"/>
      <c r="D41" s="190"/>
      <c r="E41" s="190"/>
      <c r="F41" s="190"/>
      <c r="G41" s="236"/>
      <c r="H41" s="190"/>
      <c r="I41" s="190"/>
      <c r="J41" s="190"/>
      <c r="K41" s="190"/>
      <c r="L41" s="190"/>
      <c r="M41" s="190"/>
      <c r="N41" s="190"/>
      <c r="O41" s="190"/>
      <c r="P41" s="237"/>
      <c r="Z41" s="180"/>
    </row>
    <row r="42" spans="2:26" s="234" customFormat="1">
      <c r="C42" s="273"/>
      <c r="D42" s="235"/>
      <c r="E42" s="235"/>
      <c r="F42" s="235"/>
      <c r="G42" s="236"/>
      <c r="H42" s="190"/>
      <c r="I42" s="190"/>
      <c r="J42" s="190"/>
      <c r="K42" s="190"/>
      <c r="L42" s="190"/>
      <c r="M42" s="190"/>
      <c r="N42" s="190"/>
      <c r="O42" s="190"/>
      <c r="P42" s="237"/>
      <c r="Z42" s="180"/>
    </row>
    <row r="43" spans="2:26" s="234" customFormat="1">
      <c r="C43" s="273"/>
      <c r="D43" s="235"/>
      <c r="E43" s="235"/>
      <c r="F43" s="235"/>
      <c r="G43" s="236"/>
      <c r="H43" s="190"/>
      <c r="I43" s="190"/>
      <c r="J43" s="190"/>
      <c r="K43" s="190"/>
      <c r="L43" s="190"/>
      <c r="M43" s="190"/>
      <c r="N43" s="190"/>
      <c r="O43" s="190"/>
      <c r="P43" s="237"/>
      <c r="Z43" s="180"/>
    </row>
    <row r="44" spans="2:26" s="234" customFormat="1">
      <c r="C44" s="273"/>
      <c r="D44" s="235"/>
      <c r="E44" s="235"/>
      <c r="F44" s="235"/>
      <c r="G44" s="236"/>
      <c r="H44" s="190"/>
      <c r="I44" s="190"/>
      <c r="J44" s="190"/>
      <c r="K44" s="190"/>
      <c r="L44" s="190"/>
      <c r="M44" s="190"/>
      <c r="N44" s="190"/>
      <c r="O44" s="190"/>
      <c r="P44" s="237"/>
      <c r="Z44" s="180"/>
    </row>
    <row r="45" spans="2:26" s="234" customFormat="1">
      <c r="C45" s="273"/>
      <c r="D45" s="235"/>
      <c r="E45" s="235"/>
      <c r="F45" s="235"/>
      <c r="G45" s="236"/>
      <c r="H45" s="190"/>
      <c r="I45" s="190"/>
      <c r="J45" s="190"/>
      <c r="K45" s="190"/>
      <c r="L45" s="190"/>
      <c r="M45" s="190"/>
      <c r="N45" s="190"/>
      <c r="O45" s="190"/>
      <c r="P45" s="237"/>
      <c r="Z45" s="180"/>
    </row>
    <row r="46" spans="2:26" s="234" customFormat="1">
      <c r="C46" s="273"/>
      <c r="D46" s="235"/>
      <c r="E46" s="235"/>
      <c r="F46" s="235"/>
      <c r="G46" s="236"/>
      <c r="H46" s="190"/>
      <c r="I46" s="190"/>
      <c r="J46" s="190"/>
      <c r="K46" s="190"/>
      <c r="L46" s="190"/>
      <c r="M46" s="190"/>
      <c r="N46" s="190"/>
      <c r="O46" s="190"/>
      <c r="P46" s="237"/>
      <c r="Z46" s="180"/>
    </row>
    <row r="47" spans="2:26" s="234" customFormat="1">
      <c r="C47" s="273"/>
      <c r="D47" s="235"/>
      <c r="E47" s="235"/>
      <c r="F47" s="235"/>
      <c r="G47" s="236"/>
      <c r="H47" s="190"/>
      <c r="I47" s="190"/>
      <c r="J47" s="190"/>
      <c r="K47" s="190"/>
      <c r="L47" s="190"/>
      <c r="M47" s="190"/>
      <c r="N47" s="190"/>
      <c r="O47" s="190"/>
      <c r="P47" s="237"/>
      <c r="Z47" s="180"/>
    </row>
    <row r="48" spans="2:26" s="234" customFormat="1">
      <c r="C48" s="273"/>
      <c r="D48" s="235"/>
      <c r="E48" s="235"/>
      <c r="F48" s="235"/>
      <c r="G48" s="236"/>
      <c r="H48" s="190"/>
      <c r="I48" s="190"/>
      <c r="J48" s="190"/>
      <c r="K48" s="190"/>
      <c r="L48" s="190"/>
      <c r="M48" s="190"/>
      <c r="N48" s="190"/>
      <c r="O48" s="190"/>
      <c r="P48" s="237"/>
      <c r="Z48" s="180"/>
    </row>
    <row r="49" spans="3:26" s="234" customFormat="1">
      <c r="C49" s="273"/>
      <c r="D49" s="235"/>
      <c r="E49" s="235"/>
      <c r="F49" s="235"/>
      <c r="G49" s="236"/>
      <c r="H49" s="190"/>
      <c r="I49" s="190"/>
      <c r="J49" s="190"/>
      <c r="K49" s="190"/>
      <c r="L49" s="190"/>
      <c r="M49" s="190"/>
      <c r="N49" s="190"/>
      <c r="O49" s="190"/>
      <c r="P49" s="237"/>
      <c r="Z49" s="180"/>
    </row>
    <row r="50" spans="3:26" s="234" customFormat="1">
      <c r="C50" s="274"/>
      <c r="D50" s="235"/>
      <c r="E50" s="235"/>
      <c r="F50" s="235"/>
      <c r="G50" s="236"/>
      <c r="H50" s="190"/>
      <c r="I50" s="190"/>
      <c r="J50" s="190"/>
      <c r="K50" s="190"/>
      <c r="L50" s="190"/>
      <c r="M50" s="190"/>
      <c r="N50" s="190"/>
      <c r="O50" s="190"/>
      <c r="P50" s="237"/>
      <c r="Z50" s="180"/>
    </row>
    <row r="51" spans="3:26" s="234" customFormat="1">
      <c r="C51" s="275"/>
      <c r="D51" s="235"/>
      <c r="E51" s="235"/>
      <c r="F51" s="235"/>
      <c r="G51" s="236"/>
      <c r="H51" s="190"/>
      <c r="I51" s="190"/>
      <c r="J51" s="190"/>
      <c r="K51" s="190"/>
      <c r="L51" s="190"/>
      <c r="M51" s="190"/>
      <c r="N51" s="190"/>
      <c r="O51" s="190"/>
      <c r="P51" s="237"/>
      <c r="Z51" s="180"/>
    </row>
    <row r="52" spans="3:26" s="234" customFormat="1">
      <c r="C52" s="274"/>
      <c r="D52" s="235"/>
      <c r="E52" s="235"/>
      <c r="F52" s="235"/>
      <c r="G52" s="236"/>
      <c r="H52" s="190"/>
      <c r="I52" s="190"/>
      <c r="J52" s="190"/>
      <c r="K52" s="190"/>
      <c r="L52" s="190"/>
      <c r="M52" s="190"/>
      <c r="N52" s="190"/>
      <c r="O52" s="190"/>
      <c r="P52" s="237"/>
      <c r="Z52" s="180"/>
    </row>
    <row r="53" spans="3:26" s="234" customFormat="1">
      <c r="C53" s="274"/>
      <c r="D53" s="235"/>
      <c r="E53" s="235"/>
      <c r="F53" s="235"/>
      <c r="G53" s="236"/>
      <c r="H53" s="190"/>
      <c r="I53" s="190"/>
      <c r="J53" s="190"/>
      <c r="K53" s="190"/>
      <c r="L53" s="190"/>
      <c r="M53" s="190"/>
      <c r="N53" s="190"/>
      <c r="O53" s="190"/>
      <c r="P53" s="237"/>
      <c r="Z53" s="180"/>
    </row>
    <row r="54" spans="3:26" s="234" customFormat="1">
      <c r="C54" s="275"/>
      <c r="D54" s="235"/>
      <c r="E54" s="235"/>
      <c r="F54" s="235"/>
      <c r="G54" s="236"/>
      <c r="H54" s="190"/>
      <c r="I54" s="190"/>
      <c r="J54" s="190"/>
      <c r="K54" s="190"/>
      <c r="L54" s="190"/>
      <c r="M54" s="190"/>
      <c r="N54" s="190"/>
      <c r="O54" s="190"/>
      <c r="P54" s="237"/>
      <c r="Z54" s="180"/>
    </row>
    <row r="55" spans="3:26" s="234" customFormat="1">
      <c r="C55" s="274"/>
      <c r="D55" s="235"/>
      <c r="E55" s="235"/>
      <c r="F55" s="235"/>
      <c r="G55" s="236"/>
      <c r="H55" s="190"/>
      <c r="I55" s="190"/>
      <c r="J55" s="190"/>
      <c r="K55" s="190"/>
      <c r="L55" s="190"/>
      <c r="M55" s="190"/>
      <c r="N55" s="190"/>
      <c r="O55" s="190"/>
      <c r="P55" s="237"/>
      <c r="Z55" s="180"/>
    </row>
    <row r="56" spans="3:26" s="234" customFormat="1">
      <c r="C56" s="274"/>
      <c r="D56" s="235"/>
      <c r="E56" s="235"/>
      <c r="F56" s="235"/>
      <c r="G56" s="236"/>
      <c r="H56" s="190"/>
      <c r="I56" s="190"/>
      <c r="J56" s="190"/>
      <c r="K56" s="190"/>
      <c r="L56" s="190"/>
      <c r="M56" s="190"/>
      <c r="N56" s="190"/>
      <c r="O56" s="190"/>
      <c r="P56" s="237"/>
      <c r="Z56" s="180"/>
    </row>
    <row r="57" spans="3:26" s="234" customFormat="1">
      <c r="C57" s="274"/>
      <c r="D57" s="235"/>
      <c r="E57" s="235"/>
      <c r="F57" s="235"/>
      <c r="G57" s="236"/>
      <c r="H57" s="190"/>
      <c r="I57" s="190"/>
      <c r="J57" s="190"/>
      <c r="K57" s="190"/>
      <c r="L57" s="190"/>
      <c r="M57" s="190"/>
      <c r="N57" s="190"/>
      <c r="O57" s="190"/>
      <c r="P57" s="237"/>
      <c r="Z57" s="162"/>
    </row>
    <row r="58" spans="3:26" s="234" customFormat="1">
      <c r="C58" s="274"/>
      <c r="D58" s="235"/>
      <c r="E58" s="235"/>
      <c r="F58" s="235"/>
      <c r="G58" s="236"/>
      <c r="H58" s="190"/>
      <c r="I58" s="190"/>
      <c r="J58" s="190"/>
      <c r="K58" s="190"/>
      <c r="L58" s="190"/>
      <c r="M58" s="190"/>
      <c r="N58" s="190"/>
      <c r="O58" s="190"/>
      <c r="P58" s="237"/>
      <c r="Z58" s="162"/>
    </row>
    <row r="59" spans="3:26" s="234" customFormat="1">
      <c r="C59" s="274"/>
      <c r="D59" s="235"/>
      <c r="E59" s="235"/>
      <c r="F59" s="235"/>
      <c r="G59" s="236"/>
      <c r="H59" s="190"/>
      <c r="I59" s="190"/>
      <c r="J59" s="190"/>
      <c r="K59" s="190"/>
      <c r="L59" s="190"/>
      <c r="M59" s="190"/>
      <c r="N59" s="190"/>
      <c r="O59" s="190"/>
      <c r="P59" s="237"/>
      <c r="Z59" s="162"/>
    </row>
    <row r="60" spans="3:26" s="234" customFormat="1">
      <c r="C60" s="274"/>
      <c r="D60" s="235"/>
      <c r="E60" s="235"/>
      <c r="F60" s="235"/>
      <c r="G60" s="236"/>
      <c r="H60" s="190"/>
      <c r="I60" s="190"/>
      <c r="J60" s="190"/>
      <c r="K60" s="190"/>
      <c r="L60" s="190"/>
      <c r="M60" s="190"/>
      <c r="N60" s="190"/>
      <c r="O60" s="190"/>
      <c r="P60" s="237"/>
      <c r="Z60" s="162"/>
    </row>
    <row r="61" spans="3:26" s="234" customFormat="1">
      <c r="C61" s="274"/>
      <c r="D61" s="235"/>
      <c r="E61" s="235"/>
      <c r="F61" s="235"/>
      <c r="G61" s="236"/>
      <c r="H61" s="190"/>
      <c r="I61" s="190"/>
      <c r="J61" s="190"/>
      <c r="K61" s="190"/>
      <c r="L61" s="190"/>
      <c r="M61" s="190"/>
      <c r="N61" s="190"/>
      <c r="O61" s="190"/>
      <c r="P61" s="237"/>
      <c r="Z61" s="162"/>
    </row>
    <row r="62" spans="3:26" s="234" customFormat="1">
      <c r="C62" s="274"/>
      <c r="D62" s="235"/>
      <c r="E62" s="235"/>
      <c r="F62" s="235"/>
      <c r="G62" s="236"/>
      <c r="H62" s="190"/>
      <c r="I62" s="190"/>
      <c r="J62" s="190"/>
      <c r="K62" s="190"/>
      <c r="L62" s="190"/>
      <c r="M62" s="190"/>
      <c r="N62" s="190"/>
      <c r="O62" s="190"/>
      <c r="P62" s="237"/>
      <c r="Z62" s="162"/>
    </row>
    <row r="63" spans="3:26" s="234" customFormat="1">
      <c r="C63" s="274"/>
      <c r="D63" s="235"/>
      <c r="E63" s="235"/>
      <c r="F63" s="235"/>
      <c r="G63" s="236"/>
      <c r="H63" s="190"/>
      <c r="I63" s="190"/>
      <c r="J63" s="190"/>
      <c r="K63" s="190"/>
      <c r="L63" s="190"/>
      <c r="M63" s="190"/>
      <c r="N63" s="190"/>
      <c r="O63" s="190"/>
      <c r="P63" s="237"/>
      <c r="Z63" s="162"/>
    </row>
    <row r="64" spans="3:26" s="234" customFormat="1">
      <c r="C64" s="274"/>
      <c r="D64" s="235"/>
      <c r="E64" s="235"/>
      <c r="F64" s="235"/>
      <c r="G64" s="236"/>
      <c r="H64" s="190"/>
      <c r="I64" s="190"/>
      <c r="J64" s="190"/>
      <c r="K64" s="190"/>
      <c r="L64" s="190"/>
      <c r="M64" s="190"/>
      <c r="N64" s="190"/>
      <c r="O64" s="190"/>
      <c r="P64" s="237"/>
      <c r="Z64" s="162"/>
    </row>
    <row r="65" spans="3:26" s="234" customFormat="1">
      <c r="C65" s="274"/>
      <c r="D65" s="235"/>
      <c r="E65" s="235"/>
      <c r="F65" s="235"/>
      <c r="G65" s="236"/>
      <c r="H65" s="190"/>
      <c r="I65" s="190"/>
      <c r="J65" s="190"/>
      <c r="K65" s="190"/>
      <c r="L65" s="190"/>
      <c r="M65" s="190"/>
      <c r="N65" s="190"/>
      <c r="O65" s="190"/>
      <c r="P65" s="237"/>
      <c r="Z65" s="162"/>
    </row>
    <row r="66" spans="3:26" s="234" customFormat="1">
      <c r="C66" s="274"/>
      <c r="D66" s="235"/>
      <c r="E66" s="235"/>
      <c r="F66" s="235"/>
      <c r="G66" s="236"/>
      <c r="H66" s="190"/>
      <c r="I66" s="190"/>
      <c r="J66" s="190"/>
      <c r="K66" s="190"/>
      <c r="L66" s="190"/>
      <c r="M66" s="190"/>
      <c r="N66" s="190"/>
      <c r="O66" s="190"/>
      <c r="P66" s="237"/>
      <c r="Z66" s="162"/>
    </row>
    <row r="67" spans="3:26" s="234" customFormat="1">
      <c r="C67" s="274"/>
      <c r="D67" s="235"/>
      <c r="E67" s="235"/>
      <c r="F67" s="235"/>
      <c r="G67" s="236"/>
      <c r="H67" s="190"/>
      <c r="I67" s="190"/>
      <c r="J67" s="190"/>
      <c r="K67" s="190"/>
      <c r="L67" s="190"/>
      <c r="M67" s="190"/>
      <c r="N67" s="190"/>
      <c r="O67" s="190"/>
      <c r="P67" s="237"/>
      <c r="Z67" s="162"/>
    </row>
    <row r="68" spans="3:26" s="234" customFormat="1">
      <c r="C68" s="274"/>
      <c r="D68" s="235"/>
      <c r="E68" s="235"/>
      <c r="F68" s="235"/>
      <c r="G68" s="236"/>
      <c r="H68" s="190"/>
      <c r="I68" s="190"/>
      <c r="J68" s="190"/>
      <c r="K68" s="190"/>
      <c r="L68" s="190"/>
      <c r="M68" s="190"/>
      <c r="N68" s="190"/>
      <c r="O68" s="190"/>
      <c r="P68" s="237"/>
      <c r="Z68" s="162"/>
    </row>
    <row r="69" spans="3:26" s="234" customFormat="1">
      <c r="C69" s="274"/>
      <c r="D69" s="235"/>
      <c r="E69" s="235"/>
      <c r="F69" s="235"/>
      <c r="G69" s="236"/>
      <c r="H69" s="190"/>
      <c r="I69" s="190"/>
      <c r="J69" s="190"/>
      <c r="K69" s="190"/>
      <c r="L69" s="190"/>
      <c r="M69" s="190"/>
      <c r="N69" s="190"/>
      <c r="O69" s="190"/>
      <c r="P69" s="237"/>
      <c r="Z69" s="162"/>
    </row>
    <row r="70" spans="3:26" s="234" customFormat="1">
      <c r="C70" s="274"/>
      <c r="D70" s="235"/>
      <c r="E70" s="235"/>
      <c r="F70" s="235"/>
      <c r="G70" s="236"/>
      <c r="H70" s="190"/>
      <c r="I70" s="190"/>
      <c r="J70" s="190"/>
      <c r="K70" s="190"/>
      <c r="L70" s="190"/>
      <c r="M70" s="190"/>
      <c r="N70" s="190"/>
      <c r="O70" s="190"/>
      <c r="P70" s="237"/>
      <c r="Z70" s="162"/>
    </row>
    <row r="71" spans="3:26" s="234" customFormat="1">
      <c r="C71" s="275"/>
      <c r="D71" s="235"/>
      <c r="E71" s="235"/>
      <c r="F71" s="235"/>
      <c r="G71" s="236"/>
      <c r="H71" s="190"/>
      <c r="I71" s="190"/>
      <c r="J71" s="190"/>
      <c r="K71" s="190"/>
      <c r="L71" s="190"/>
      <c r="M71" s="190"/>
      <c r="N71" s="190"/>
      <c r="O71" s="190"/>
      <c r="P71" s="237"/>
      <c r="Z71" s="162"/>
    </row>
    <row r="76" spans="3:26">
      <c r="C76" s="275"/>
    </row>
    <row r="80" spans="3:26">
      <c r="C80" s="275"/>
    </row>
    <row r="81" spans="3:3">
      <c r="C81" s="275"/>
    </row>
    <row r="82" spans="3:3">
      <c r="C82" s="159"/>
    </row>
    <row r="83" spans="3:3">
      <c r="C83" s="159"/>
    </row>
    <row r="84" spans="3:3">
      <c r="C84" s="159"/>
    </row>
    <row r="85" spans="3:3">
      <c r="C85" s="159"/>
    </row>
    <row r="87" spans="3:3">
      <c r="C87" s="159"/>
    </row>
    <row r="88" spans="3:3">
      <c r="C88" s="159"/>
    </row>
    <row r="89" spans="3:3">
      <c r="C89" s="159"/>
    </row>
    <row r="90" spans="3:3">
      <c r="C90" s="159"/>
    </row>
    <row r="91" spans="3:3">
      <c r="C91" s="159"/>
    </row>
    <row r="92" spans="3:3">
      <c r="C92" s="159"/>
    </row>
    <row r="93" spans="3:3">
      <c r="C93" s="159"/>
    </row>
    <row r="94" spans="3:3">
      <c r="C94" s="159"/>
    </row>
    <row r="95" spans="3:3">
      <c r="C95" s="159"/>
    </row>
    <row r="96" spans="3:3">
      <c r="C96" s="159"/>
    </row>
    <row r="97" spans="3:3">
      <c r="C97" s="159"/>
    </row>
    <row r="98" spans="3:3">
      <c r="C98" s="159"/>
    </row>
    <row r="99" spans="3:3">
      <c r="C99" s="159"/>
    </row>
    <row r="100" spans="3:3">
      <c r="C100" s="159"/>
    </row>
    <row r="101" spans="3:3">
      <c r="C101" s="159"/>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22</vt:i4>
      </vt:variant>
      <vt:variant>
        <vt:lpstr>Grafieken</vt:lpstr>
      </vt:variant>
      <vt:variant>
        <vt:i4>3</vt:i4>
      </vt:variant>
      <vt:variant>
        <vt:lpstr>Benoemde bereiken</vt:lpstr>
      </vt:variant>
      <vt:variant>
        <vt:i4>7</vt:i4>
      </vt:variant>
    </vt:vector>
  </HeadingPairs>
  <TitlesOfParts>
    <vt:vector size="32" baseType="lpstr">
      <vt:lpstr>Etappes</vt:lpstr>
      <vt:lpstr>originaliteit</vt:lpstr>
      <vt:lpstr>Teams</vt:lpstr>
      <vt:lpstr>Score</vt:lpstr>
      <vt:lpstr>SVU</vt:lpstr>
      <vt:lpstr>Selfkant</vt:lpstr>
      <vt:lpstr>City</vt:lpstr>
      <vt:lpstr>Lange</vt:lpstr>
      <vt:lpstr>Winner</vt:lpstr>
      <vt:lpstr>Ode</vt:lpstr>
      <vt:lpstr>IJff</vt:lpstr>
      <vt:lpstr>Ami</vt:lpstr>
      <vt:lpstr>Gran</vt:lpstr>
      <vt:lpstr>Mahawong</vt:lpstr>
      <vt:lpstr>Lothar</vt:lpstr>
      <vt:lpstr>Theo</vt:lpstr>
      <vt:lpstr>Casper</vt:lpstr>
      <vt:lpstr>Vino</vt:lpstr>
      <vt:lpstr>Omer</vt:lpstr>
      <vt:lpstr>TTT</vt:lpstr>
      <vt:lpstr>BertT</vt:lpstr>
      <vt:lpstr>HANDLEIDING</vt:lpstr>
      <vt:lpstr>Grafiek</vt:lpstr>
      <vt:lpstr>Grafiek (2)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2012-07-22T18:56:53Z</dcterms:modified>
</cp:coreProperties>
</file>